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5\"/>
    </mc:Choice>
  </mc:AlternateContent>
  <xr:revisionPtr revIDLastSave="0" documentId="13_ncr:1_{B71FDFD5-5CDB-4044-B56A-2F40ADC53440}" xr6:coauthVersionLast="47" xr6:coauthVersionMax="47" xr10:uidLastSave="{00000000-0000-0000-0000-000000000000}"/>
  <bookViews>
    <workbookView xWindow="-108" yWindow="-108" windowWidth="23256" windowHeight="14016" firstSheet="1" activeTab="11" xr2:uid="{5145F4D6-920A-4F37-B739-235D473C93CA}"/>
  </bookViews>
  <sheets>
    <sheet name="R5.1" sheetId="2" r:id="rId1"/>
    <sheet name="R5.2" sheetId="3" r:id="rId2"/>
    <sheet name="R5.3" sheetId="1" r:id="rId3"/>
    <sheet name="R5.4" sheetId="4" r:id="rId4"/>
    <sheet name="R5.5" sheetId="5" r:id="rId5"/>
    <sheet name="R5.6" sheetId="6" r:id="rId6"/>
    <sheet name="R5.7" sheetId="7" r:id="rId7"/>
    <sheet name="R5.8" sheetId="8" r:id="rId8"/>
    <sheet name="R5.9" sheetId="9" r:id="rId9"/>
    <sheet name="R5.10" sheetId="10" r:id="rId10"/>
    <sheet name="R5.11" sheetId="11" r:id="rId11"/>
    <sheet name="R5.12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'R5.1'!$B$1:$P$79</definedName>
    <definedName name="_xlnm.Print_Area" localSheetId="9">'R5.10'!$B$1:$P$79</definedName>
    <definedName name="_xlnm.Print_Area" localSheetId="10">'R5.11'!$B$1:$P$79</definedName>
    <definedName name="_xlnm.Print_Area" localSheetId="11">'R5.12'!$B$1:$P$79</definedName>
    <definedName name="_xlnm.Print_Area" localSheetId="1">'R5.2'!$B$1:$P$79</definedName>
    <definedName name="_xlnm.Print_Area" localSheetId="2">'R5.3'!$B$1:$P$79</definedName>
    <definedName name="_xlnm.Print_Area" localSheetId="3">'R5.4'!$B$1:$P$79</definedName>
    <definedName name="_xlnm.Print_Area" localSheetId="4">'R5.5'!$B$1:$P$79</definedName>
    <definedName name="_xlnm.Print_Area" localSheetId="5">'R5.6'!$B$1:$P$79</definedName>
    <definedName name="_xlnm.Print_Area" localSheetId="6">'R5.7'!$B$1:$P$79</definedName>
    <definedName name="_xlnm.Print_Area" localSheetId="7">'R5.8'!$B$1:$P$79</definedName>
    <definedName name="_xlnm.Print_Area" localSheetId="8">'R5.9'!$B$1:$P$79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2" l="1"/>
  <c r="B76" i="12"/>
  <c r="P74" i="12"/>
  <c r="N74" i="12"/>
  <c r="M74" i="12"/>
  <c r="G74" i="12"/>
  <c r="F74" i="12"/>
  <c r="E74" i="12"/>
  <c r="D74" i="12"/>
  <c r="O73" i="12"/>
  <c r="D73" i="12"/>
  <c r="P73" i="12" s="1"/>
  <c r="B73" i="12"/>
  <c r="J72" i="12"/>
  <c r="I72" i="12"/>
  <c r="B70" i="12"/>
  <c r="D69" i="12"/>
  <c r="B69" i="12"/>
  <c r="M68" i="12"/>
  <c r="D68" i="12"/>
  <c r="P68" i="12" s="1"/>
  <c r="P67" i="12"/>
  <c r="O67" i="12"/>
  <c r="I67" i="12"/>
  <c r="H67" i="12"/>
  <c r="G67" i="12"/>
  <c r="D67" i="12"/>
  <c r="B67" i="12"/>
  <c r="E66" i="12"/>
  <c r="B64" i="12"/>
  <c r="P62" i="12"/>
  <c r="N62" i="12"/>
  <c r="M62" i="12"/>
  <c r="G62" i="12"/>
  <c r="F62" i="12"/>
  <c r="E62" i="12"/>
  <c r="D62" i="12"/>
  <c r="O61" i="12"/>
  <c r="D61" i="12"/>
  <c r="P61" i="12" s="1"/>
  <c r="B61" i="12"/>
  <c r="D57" i="12"/>
  <c r="N57" i="12" s="1"/>
  <c r="B57" i="12"/>
  <c r="M56" i="12"/>
  <c r="D56" i="12"/>
  <c r="P56" i="12" s="1"/>
  <c r="P55" i="12"/>
  <c r="O55" i="12"/>
  <c r="I55" i="12"/>
  <c r="H55" i="12"/>
  <c r="G55" i="12"/>
  <c r="D55" i="12"/>
  <c r="B55" i="12"/>
  <c r="B52" i="12"/>
  <c r="P50" i="12"/>
  <c r="N50" i="12"/>
  <c r="M50" i="12"/>
  <c r="G50" i="12"/>
  <c r="F50" i="12"/>
  <c r="E50" i="12"/>
  <c r="D50" i="12"/>
  <c r="O49" i="12"/>
  <c r="D49" i="12"/>
  <c r="P49" i="12" s="1"/>
  <c r="B49" i="12"/>
  <c r="O40" i="12"/>
  <c r="N40" i="12"/>
  <c r="M40" i="12"/>
  <c r="L40" i="12"/>
  <c r="J40" i="12"/>
  <c r="I40" i="12"/>
  <c r="D40" i="12"/>
  <c r="D78" i="12" s="1"/>
  <c r="J78" i="12" s="1"/>
  <c r="B40" i="12"/>
  <c r="B78" i="12" s="1"/>
  <c r="D39" i="12"/>
  <c r="B39" i="12"/>
  <c r="B77" i="12" s="1"/>
  <c r="N38" i="12"/>
  <c r="D38" i="12"/>
  <c r="P38" i="12" s="1"/>
  <c r="B38" i="12"/>
  <c r="P37" i="12"/>
  <c r="O37" i="12"/>
  <c r="I37" i="12"/>
  <c r="H37" i="12"/>
  <c r="G37" i="12"/>
  <c r="F37" i="12"/>
  <c r="D37" i="12"/>
  <c r="D75" i="12" s="1"/>
  <c r="B37" i="12"/>
  <c r="B75" i="12" s="1"/>
  <c r="L36" i="12"/>
  <c r="K36" i="12"/>
  <c r="J36" i="12"/>
  <c r="I36" i="12"/>
  <c r="H36" i="12"/>
  <c r="G36" i="12"/>
  <c r="F36" i="12"/>
  <c r="E36" i="12"/>
  <c r="D36" i="12"/>
  <c r="P36" i="12" s="1"/>
  <c r="B36" i="12"/>
  <c r="B74" i="12" s="1"/>
  <c r="N35" i="12"/>
  <c r="M35" i="12"/>
  <c r="L35" i="12"/>
  <c r="K35" i="12"/>
  <c r="J35" i="12"/>
  <c r="I35" i="12"/>
  <c r="H35" i="12"/>
  <c r="G35" i="12"/>
  <c r="E35" i="12"/>
  <c r="D35" i="12"/>
  <c r="F35" i="12" s="1"/>
  <c r="B35" i="12"/>
  <c r="O34" i="12"/>
  <c r="N34" i="12"/>
  <c r="M34" i="12"/>
  <c r="L34" i="12"/>
  <c r="K34" i="12"/>
  <c r="J34" i="12"/>
  <c r="I34" i="12"/>
  <c r="D34" i="12"/>
  <c r="D72" i="12" s="1"/>
  <c r="H72" i="12" s="1"/>
  <c r="B34" i="12"/>
  <c r="B72" i="12" s="1"/>
  <c r="P33" i="12"/>
  <c r="O33" i="12"/>
  <c r="N33" i="12"/>
  <c r="L33" i="12"/>
  <c r="D33" i="12"/>
  <c r="B33" i="12"/>
  <c r="B71" i="12" s="1"/>
  <c r="P32" i="12"/>
  <c r="N32" i="12"/>
  <c r="M32" i="12"/>
  <c r="G32" i="12"/>
  <c r="F32" i="12"/>
  <c r="E32" i="12"/>
  <c r="D32" i="12"/>
  <c r="B32" i="12"/>
  <c r="D31" i="12"/>
  <c r="B31" i="12"/>
  <c r="O30" i="12"/>
  <c r="L30" i="12"/>
  <c r="K30" i="12"/>
  <c r="J30" i="12"/>
  <c r="I30" i="12"/>
  <c r="H30" i="12"/>
  <c r="G30" i="12"/>
  <c r="F30" i="12"/>
  <c r="E30" i="12"/>
  <c r="D30" i="12"/>
  <c r="P30" i="12" s="1"/>
  <c r="B30" i="12"/>
  <c r="B68" i="12" s="1"/>
  <c r="O29" i="12"/>
  <c r="N29" i="12"/>
  <c r="M29" i="12"/>
  <c r="L29" i="12"/>
  <c r="K29" i="12"/>
  <c r="J29" i="12"/>
  <c r="I29" i="12"/>
  <c r="H29" i="12"/>
  <c r="G29" i="12"/>
  <c r="F29" i="12"/>
  <c r="E29" i="12"/>
  <c r="D29" i="12"/>
  <c r="P29" i="12" s="1"/>
  <c r="B29" i="12"/>
  <c r="O28" i="12"/>
  <c r="N28" i="12"/>
  <c r="M28" i="12"/>
  <c r="L28" i="12"/>
  <c r="K28" i="12"/>
  <c r="J28" i="12"/>
  <c r="I28" i="12"/>
  <c r="G28" i="12"/>
  <c r="D28" i="12"/>
  <c r="D66" i="12" s="1"/>
  <c r="B28" i="12"/>
  <c r="B66" i="12" s="1"/>
  <c r="P27" i="12"/>
  <c r="O27" i="12"/>
  <c r="N27" i="12"/>
  <c r="M27" i="12"/>
  <c r="L27" i="12"/>
  <c r="K27" i="12"/>
  <c r="D27" i="12"/>
  <c r="B27" i="12"/>
  <c r="B65" i="12" s="1"/>
  <c r="P26" i="12"/>
  <c r="O26" i="12"/>
  <c r="N26" i="12"/>
  <c r="M26" i="12"/>
  <c r="K26" i="12"/>
  <c r="G26" i="12"/>
  <c r="F26" i="12"/>
  <c r="E26" i="12"/>
  <c r="D26" i="12"/>
  <c r="B26" i="12"/>
  <c r="O25" i="12"/>
  <c r="M25" i="12"/>
  <c r="I25" i="12"/>
  <c r="H25" i="12"/>
  <c r="G25" i="12"/>
  <c r="F25" i="12"/>
  <c r="E25" i="12"/>
  <c r="D25" i="12"/>
  <c r="B25" i="12"/>
  <c r="B63" i="12" s="1"/>
  <c r="O24" i="12"/>
  <c r="L24" i="12"/>
  <c r="K24" i="12"/>
  <c r="J24" i="12"/>
  <c r="I24" i="12"/>
  <c r="H24" i="12"/>
  <c r="G24" i="12"/>
  <c r="F24" i="12"/>
  <c r="E24" i="12"/>
  <c r="D24" i="12"/>
  <c r="P24" i="12" s="1"/>
  <c r="B24" i="12"/>
  <c r="B62" i="12" s="1"/>
  <c r="O23" i="12"/>
  <c r="N23" i="12"/>
  <c r="M23" i="12"/>
  <c r="L23" i="12"/>
  <c r="K23" i="12"/>
  <c r="J23" i="12"/>
  <c r="I23" i="12"/>
  <c r="H23" i="12"/>
  <c r="G23" i="12"/>
  <c r="F23" i="12"/>
  <c r="E23" i="12"/>
  <c r="D23" i="12"/>
  <c r="P23" i="12" s="1"/>
  <c r="B23" i="12"/>
  <c r="O22" i="12"/>
  <c r="N22" i="12"/>
  <c r="M22" i="12"/>
  <c r="L22" i="12"/>
  <c r="K22" i="12"/>
  <c r="J22" i="12"/>
  <c r="I22" i="12"/>
  <c r="G22" i="12"/>
  <c r="D22" i="12"/>
  <c r="D60" i="12" s="1"/>
  <c r="F60" i="12" s="1"/>
  <c r="B22" i="12"/>
  <c r="B60" i="12" s="1"/>
  <c r="O21" i="12"/>
  <c r="D21" i="12"/>
  <c r="P21" i="12" s="1"/>
  <c r="B21" i="12"/>
  <c r="B59" i="12" s="1"/>
  <c r="P20" i="12"/>
  <c r="M20" i="12"/>
  <c r="D20" i="12"/>
  <c r="F20" i="12" s="1"/>
  <c r="B20" i="12"/>
  <c r="B58" i="12" s="1"/>
  <c r="P19" i="12"/>
  <c r="O19" i="12"/>
  <c r="M19" i="12"/>
  <c r="J19" i="12"/>
  <c r="H19" i="12"/>
  <c r="D19" i="12"/>
  <c r="E19" i="12" s="1"/>
  <c r="B19" i="12"/>
  <c r="O18" i="12"/>
  <c r="L18" i="12"/>
  <c r="K18" i="12"/>
  <c r="J18" i="12"/>
  <c r="I18" i="12"/>
  <c r="H18" i="12"/>
  <c r="G18" i="12"/>
  <c r="F18" i="12"/>
  <c r="E18" i="12"/>
  <c r="D18" i="12"/>
  <c r="P18" i="12" s="1"/>
  <c r="B18" i="12"/>
  <c r="B56" i="12" s="1"/>
  <c r="O17" i="12"/>
  <c r="N17" i="12"/>
  <c r="M17" i="12"/>
  <c r="L17" i="12"/>
  <c r="K17" i="12"/>
  <c r="J17" i="12"/>
  <c r="I17" i="12"/>
  <c r="H17" i="12"/>
  <c r="G17" i="12"/>
  <c r="F17" i="12"/>
  <c r="E17" i="12"/>
  <c r="D17" i="12"/>
  <c r="P17" i="12" s="1"/>
  <c r="B17" i="12"/>
  <c r="P16" i="12"/>
  <c r="O16" i="12"/>
  <c r="N16" i="12"/>
  <c r="M16" i="12"/>
  <c r="L16" i="12"/>
  <c r="K16" i="12"/>
  <c r="J16" i="12"/>
  <c r="D16" i="12"/>
  <c r="B16" i="12"/>
  <c r="B54" i="12" s="1"/>
  <c r="P15" i="12"/>
  <c r="O15" i="12"/>
  <c r="N15" i="12"/>
  <c r="M15" i="12"/>
  <c r="L15" i="12"/>
  <c r="K15" i="12"/>
  <c r="I15" i="12"/>
  <c r="F15" i="12"/>
  <c r="D15" i="12"/>
  <c r="B15" i="12"/>
  <c r="B53" i="12" s="1"/>
  <c r="P14" i="12"/>
  <c r="O14" i="12"/>
  <c r="N14" i="12"/>
  <c r="M14" i="12"/>
  <c r="K14" i="12"/>
  <c r="H14" i="12"/>
  <c r="G14" i="12"/>
  <c r="F14" i="12"/>
  <c r="E14" i="12"/>
  <c r="D14" i="12"/>
  <c r="B14" i="12"/>
  <c r="H13" i="12"/>
  <c r="G13" i="12"/>
  <c r="D13" i="12"/>
  <c r="E13" i="12" s="1"/>
  <c r="B13" i="12"/>
  <c r="B51" i="12" s="1"/>
  <c r="O12" i="12"/>
  <c r="L12" i="12"/>
  <c r="K12" i="12"/>
  <c r="J12" i="12"/>
  <c r="I12" i="12"/>
  <c r="H12" i="12"/>
  <c r="G12" i="12"/>
  <c r="F12" i="12"/>
  <c r="E12" i="12"/>
  <c r="D12" i="12"/>
  <c r="P12" i="12" s="1"/>
  <c r="B12" i="12"/>
  <c r="B50" i="12" s="1"/>
  <c r="O11" i="12"/>
  <c r="N11" i="12"/>
  <c r="M11" i="12"/>
  <c r="L11" i="12"/>
  <c r="K11" i="12"/>
  <c r="J11" i="12"/>
  <c r="I11" i="12"/>
  <c r="H11" i="12"/>
  <c r="G11" i="12"/>
  <c r="F11" i="12"/>
  <c r="E11" i="12"/>
  <c r="D11" i="12"/>
  <c r="P11" i="12" s="1"/>
  <c r="B11" i="12"/>
  <c r="L10" i="12"/>
  <c r="K10" i="12"/>
  <c r="J10" i="12"/>
  <c r="I10" i="12"/>
  <c r="G10" i="12"/>
  <c r="D10" i="12"/>
  <c r="B10" i="12"/>
  <c r="B48" i="12" s="1"/>
  <c r="K9" i="12"/>
  <c r="J9" i="12"/>
  <c r="I9" i="12"/>
  <c r="F9" i="12"/>
  <c r="E9" i="12"/>
  <c r="D9" i="12"/>
  <c r="B9" i="12"/>
  <c r="B47" i="12" s="1"/>
  <c r="B2" i="12"/>
  <c r="J75" i="12" l="1"/>
  <c r="I75" i="12"/>
  <c r="H75" i="12"/>
  <c r="G75" i="12"/>
  <c r="F75" i="12"/>
  <c r="M75" i="12"/>
  <c r="E75" i="12"/>
  <c r="O75" i="12"/>
  <c r="P75" i="12"/>
  <c r="N75" i="12"/>
  <c r="L75" i="12"/>
  <c r="K75" i="12"/>
  <c r="E72" i="12"/>
  <c r="D47" i="12"/>
  <c r="H9" i="12"/>
  <c r="G9" i="12"/>
  <c r="D48" i="12"/>
  <c r="H10" i="12"/>
  <c r="F10" i="12"/>
  <c r="E10" i="12"/>
  <c r="I19" i="12"/>
  <c r="N20" i="12"/>
  <c r="N25" i="12"/>
  <c r="L25" i="12"/>
  <c r="K25" i="12"/>
  <c r="J25" i="12"/>
  <c r="L32" i="12"/>
  <c r="K32" i="12"/>
  <c r="J32" i="12"/>
  <c r="H32" i="12"/>
  <c r="I32" i="12"/>
  <c r="D70" i="12"/>
  <c r="O32" i="12"/>
  <c r="N55" i="12"/>
  <c r="M55" i="12"/>
  <c r="L55" i="12"/>
  <c r="K55" i="12"/>
  <c r="J55" i="12"/>
  <c r="E55" i="12"/>
  <c r="N56" i="12"/>
  <c r="N67" i="12"/>
  <c r="M67" i="12"/>
  <c r="L67" i="12"/>
  <c r="K67" i="12"/>
  <c r="J67" i="12"/>
  <c r="E67" i="12"/>
  <c r="N68" i="12"/>
  <c r="F72" i="12"/>
  <c r="P60" i="12"/>
  <c r="O60" i="12"/>
  <c r="N60" i="12"/>
  <c r="M60" i="12"/>
  <c r="L60" i="12"/>
  <c r="G60" i="12"/>
  <c r="N13" i="12"/>
  <c r="L13" i="12"/>
  <c r="K13" i="12"/>
  <c r="E60" i="12"/>
  <c r="F13" i="12"/>
  <c r="O20" i="12"/>
  <c r="L50" i="12"/>
  <c r="K50" i="12"/>
  <c r="J50" i="12"/>
  <c r="I50" i="12"/>
  <c r="H50" i="12"/>
  <c r="O50" i="12"/>
  <c r="F55" i="12"/>
  <c r="H60" i="12"/>
  <c r="L62" i="12"/>
  <c r="K62" i="12"/>
  <c r="J62" i="12"/>
  <c r="I62" i="12"/>
  <c r="H62" i="12"/>
  <c r="O62" i="12"/>
  <c r="F67" i="12"/>
  <c r="L74" i="12"/>
  <c r="K74" i="12"/>
  <c r="J74" i="12"/>
  <c r="I74" i="12"/>
  <c r="H74" i="12"/>
  <c r="O74" i="12"/>
  <c r="J39" i="12"/>
  <c r="I39" i="12"/>
  <c r="D77" i="12"/>
  <c r="H39" i="12"/>
  <c r="G39" i="12"/>
  <c r="F39" i="12"/>
  <c r="M39" i="12"/>
  <c r="I60" i="12"/>
  <c r="E39" i="12"/>
  <c r="J60" i="12"/>
  <c r="J69" i="12"/>
  <c r="I69" i="12"/>
  <c r="H69" i="12"/>
  <c r="G69" i="12"/>
  <c r="F69" i="12"/>
  <c r="M69" i="12"/>
  <c r="J21" i="12"/>
  <c r="D59" i="12"/>
  <c r="H21" i="12"/>
  <c r="G21" i="12"/>
  <c r="F21" i="12"/>
  <c r="N31" i="12"/>
  <c r="M31" i="12"/>
  <c r="L31" i="12"/>
  <c r="J31" i="12"/>
  <c r="K31" i="12"/>
  <c r="E31" i="12"/>
  <c r="J13" i="12"/>
  <c r="E21" i="12"/>
  <c r="F31" i="12"/>
  <c r="P66" i="12"/>
  <c r="O66" i="12"/>
  <c r="N66" i="12"/>
  <c r="M66" i="12"/>
  <c r="L66" i="12"/>
  <c r="G66" i="12"/>
  <c r="G31" i="12"/>
  <c r="L38" i="12"/>
  <c r="K38" i="12"/>
  <c r="J38" i="12"/>
  <c r="I38" i="12"/>
  <c r="D76" i="12"/>
  <c r="H38" i="12"/>
  <c r="O38" i="12"/>
  <c r="N39" i="12"/>
  <c r="N49" i="12"/>
  <c r="M49" i="12"/>
  <c r="L49" i="12"/>
  <c r="K49" i="12"/>
  <c r="J49" i="12"/>
  <c r="E49" i="12"/>
  <c r="L57" i="12"/>
  <c r="N61" i="12"/>
  <c r="M61" i="12"/>
  <c r="L61" i="12"/>
  <c r="K61" i="12"/>
  <c r="J61" i="12"/>
  <c r="E61" i="12"/>
  <c r="F66" i="12"/>
  <c r="L69" i="12"/>
  <c r="N73" i="12"/>
  <c r="M73" i="12"/>
  <c r="L73" i="12"/>
  <c r="K73" i="12"/>
  <c r="J73" i="12"/>
  <c r="E73" i="12"/>
  <c r="F78" i="12"/>
  <c r="I13" i="12"/>
  <c r="P72" i="12"/>
  <c r="O72" i="12"/>
  <c r="N72" i="12"/>
  <c r="M72" i="12"/>
  <c r="L72" i="12"/>
  <c r="G72" i="12"/>
  <c r="L39" i="12"/>
  <c r="K57" i="12"/>
  <c r="M9" i="12"/>
  <c r="N10" i="12"/>
  <c r="H31" i="12"/>
  <c r="E38" i="12"/>
  <c r="O39" i="12"/>
  <c r="F49" i="12"/>
  <c r="L56" i="12"/>
  <c r="K56" i="12"/>
  <c r="J56" i="12"/>
  <c r="I56" i="12"/>
  <c r="H56" i="12"/>
  <c r="O56" i="12"/>
  <c r="F61" i="12"/>
  <c r="H66" i="12"/>
  <c r="L68" i="12"/>
  <c r="K68" i="12"/>
  <c r="J68" i="12"/>
  <c r="I68" i="12"/>
  <c r="H68" i="12"/>
  <c r="O68" i="12"/>
  <c r="N69" i="12"/>
  <c r="F73" i="12"/>
  <c r="H78" i="12"/>
  <c r="J57" i="12"/>
  <c r="I57" i="12"/>
  <c r="H57" i="12"/>
  <c r="G57" i="12"/>
  <c r="F57" i="12"/>
  <c r="M57" i="12"/>
  <c r="E69" i="12"/>
  <c r="L9" i="12"/>
  <c r="M10" i="12"/>
  <c r="M13" i="12"/>
  <c r="O13" i="12"/>
  <c r="O10" i="12"/>
  <c r="P13" i="12"/>
  <c r="D54" i="12"/>
  <c r="H16" i="12"/>
  <c r="F16" i="12"/>
  <c r="E16" i="12"/>
  <c r="L21" i="12"/>
  <c r="P25" i="12"/>
  <c r="J27" i="12"/>
  <c r="D65" i="12"/>
  <c r="H27" i="12"/>
  <c r="G27" i="12"/>
  <c r="F27" i="12"/>
  <c r="I31" i="12"/>
  <c r="J33" i="12"/>
  <c r="I33" i="12"/>
  <c r="D71" i="12"/>
  <c r="H33" i="12"/>
  <c r="G33" i="12"/>
  <c r="F33" i="12"/>
  <c r="M33" i="12"/>
  <c r="F38" i="12"/>
  <c r="P39" i="12"/>
  <c r="G49" i="12"/>
  <c r="E56" i="12"/>
  <c r="O57" i="12"/>
  <c r="G61" i="12"/>
  <c r="I66" i="12"/>
  <c r="E68" i="12"/>
  <c r="O69" i="12"/>
  <c r="G73" i="12"/>
  <c r="I78" i="12"/>
  <c r="K39" i="12"/>
  <c r="K72" i="12"/>
  <c r="L20" i="12"/>
  <c r="J20" i="12"/>
  <c r="H20" i="12"/>
  <c r="I20" i="12"/>
  <c r="D58" i="12"/>
  <c r="I21" i="12"/>
  <c r="N19" i="12"/>
  <c r="L19" i="12"/>
  <c r="K19" i="12"/>
  <c r="E20" i="12"/>
  <c r="K21" i="12"/>
  <c r="N9" i="12"/>
  <c r="O9" i="12"/>
  <c r="P10" i="12"/>
  <c r="J15" i="12"/>
  <c r="D53" i="12"/>
  <c r="H15" i="12"/>
  <c r="G15" i="12"/>
  <c r="G16" i="12"/>
  <c r="F19" i="12"/>
  <c r="G20" i="12"/>
  <c r="M21" i="12"/>
  <c r="E27" i="12"/>
  <c r="O31" i="12"/>
  <c r="E33" i="12"/>
  <c r="G38" i="12"/>
  <c r="H49" i="12"/>
  <c r="D51" i="12"/>
  <c r="F56" i="12"/>
  <c r="P57" i="12"/>
  <c r="H61" i="12"/>
  <c r="D63" i="12"/>
  <c r="J66" i="12"/>
  <c r="F68" i="12"/>
  <c r="P69" i="12"/>
  <c r="H73" i="12"/>
  <c r="E57" i="12"/>
  <c r="K60" i="12"/>
  <c r="K69" i="12"/>
  <c r="P9" i="12"/>
  <c r="L14" i="12"/>
  <c r="J14" i="12"/>
  <c r="I14" i="12"/>
  <c r="D52" i="12"/>
  <c r="E15" i="12"/>
  <c r="I16" i="12"/>
  <c r="G19" i="12"/>
  <c r="K20" i="12"/>
  <c r="N21" i="12"/>
  <c r="L26" i="12"/>
  <c r="J26" i="12"/>
  <c r="I26" i="12"/>
  <c r="D64" i="12"/>
  <c r="H26" i="12"/>
  <c r="I27" i="12"/>
  <c r="P31" i="12"/>
  <c r="K33" i="12"/>
  <c r="N37" i="12"/>
  <c r="M37" i="12"/>
  <c r="L37" i="12"/>
  <c r="K37" i="12"/>
  <c r="J37" i="12"/>
  <c r="E37" i="12"/>
  <c r="M38" i="12"/>
  <c r="P78" i="12"/>
  <c r="O78" i="12"/>
  <c r="N78" i="12"/>
  <c r="M78" i="12"/>
  <c r="L78" i="12"/>
  <c r="G78" i="12"/>
  <c r="I49" i="12"/>
  <c r="G56" i="12"/>
  <c r="I61" i="12"/>
  <c r="K66" i="12"/>
  <c r="G68" i="12"/>
  <c r="I73" i="12"/>
  <c r="K78" i="12"/>
  <c r="K40" i="12"/>
  <c r="P28" i="12"/>
  <c r="P40" i="12"/>
  <c r="M12" i="12"/>
  <c r="M18" i="12"/>
  <c r="E22" i="12"/>
  <c r="M30" i="12"/>
  <c r="E34" i="12"/>
  <c r="O35" i="12"/>
  <c r="M36" i="12"/>
  <c r="E40" i="12"/>
  <c r="P22" i="12"/>
  <c r="P34" i="12"/>
  <c r="M24" i="12"/>
  <c r="E28" i="12"/>
  <c r="N12" i="12"/>
  <c r="N18" i="12"/>
  <c r="F22" i="12"/>
  <c r="N24" i="12"/>
  <c r="F28" i="12"/>
  <c r="N30" i="12"/>
  <c r="F34" i="12"/>
  <c r="P35" i="12"/>
  <c r="N36" i="12"/>
  <c r="F40" i="12"/>
  <c r="G34" i="12"/>
  <c r="O36" i="12"/>
  <c r="G40" i="12"/>
  <c r="H22" i="12"/>
  <c r="H28" i="12"/>
  <c r="H34" i="12"/>
  <c r="H40" i="12"/>
  <c r="F77" i="12" l="1"/>
  <c r="E77" i="12"/>
  <c r="P77" i="12"/>
  <c r="O77" i="12"/>
  <c r="N77" i="12"/>
  <c r="I77" i="12"/>
  <c r="M77" i="12"/>
  <c r="L77" i="12"/>
  <c r="K77" i="12"/>
  <c r="J77" i="12"/>
  <c r="H77" i="12"/>
  <c r="G77" i="12"/>
  <c r="H70" i="12"/>
  <c r="G70" i="12"/>
  <c r="F70" i="12"/>
  <c r="E70" i="12"/>
  <c r="P70" i="12"/>
  <c r="K70" i="12"/>
  <c r="N70" i="12"/>
  <c r="M70" i="12"/>
  <c r="O70" i="12"/>
  <c r="L70" i="12"/>
  <c r="J70" i="12"/>
  <c r="I70" i="12"/>
  <c r="H52" i="12"/>
  <c r="G52" i="12"/>
  <c r="F52" i="12"/>
  <c r="E52" i="12"/>
  <c r="P52" i="12"/>
  <c r="K52" i="12"/>
  <c r="O52" i="12"/>
  <c r="N52" i="12"/>
  <c r="M52" i="12"/>
  <c r="L52" i="12"/>
  <c r="I52" i="12"/>
  <c r="J52" i="12"/>
  <c r="J63" i="12"/>
  <c r="I63" i="12"/>
  <c r="H63" i="12"/>
  <c r="G63" i="12"/>
  <c r="F63" i="12"/>
  <c r="M63" i="12"/>
  <c r="E63" i="12"/>
  <c r="P63" i="12"/>
  <c r="O63" i="12"/>
  <c r="N63" i="12"/>
  <c r="L63" i="12"/>
  <c r="K63" i="12"/>
  <c r="P48" i="12"/>
  <c r="O48" i="12"/>
  <c r="N48" i="12"/>
  <c r="M48" i="12"/>
  <c r="L48" i="12"/>
  <c r="G48" i="12"/>
  <c r="K48" i="12"/>
  <c r="J48" i="12"/>
  <c r="I48" i="12"/>
  <c r="H48" i="12"/>
  <c r="E48" i="12"/>
  <c r="F48" i="12"/>
  <c r="F65" i="12"/>
  <c r="E65" i="12"/>
  <c r="P65" i="12"/>
  <c r="O65" i="12"/>
  <c r="N65" i="12"/>
  <c r="I65" i="12"/>
  <c r="M65" i="12"/>
  <c r="L65" i="12"/>
  <c r="K65" i="12"/>
  <c r="J65" i="12"/>
  <c r="H65" i="12"/>
  <c r="G65" i="12"/>
  <c r="F71" i="12"/>
  <c r="E71" i="12"/>
  <c r="P71" i="12"/>
  <c r="O71" i="12"/>
  <c r="N71" i="12"/>
  <c r="I71" i="12"/>
  <c r="M71" i="12"/>
  <c r="G71" i="12"/>
  <c r="L71" i="12"/>
  <c r="K71" i="12"/>
  <c r="J71" i="12"/>
  <c r="H71" i="12"/>
  <c r="H76" i="12"/>
  <c r="G76" i="12"/>
  <c r="F76" i="12"/>
  <c r="E76" i="12"/>
  <c r="P76" i="12"/>
  <c r="K76" i="12"/>
  <c r="O76" i="12"/>
  <c r="N76" i="12"/>
  <c r="I76" i="12"/>
  <c r="M76" i="12"/>
  <c r="L76" i="12"/>
  <c r="J76" i="12"/>
  <c r="F59" i="12"/>
  <c r="E59" i="12"/>
  <c r="P59" i="12"/>
  <c r="O59" i="12"/>
  <c r="N59" i="12"/>
  <c r="I59" i="12"/>
  <c r="M59" i="12"/>
  <c r="G59" i="12"/>
  <c r="L59" i="12"/>
  <c r="K59" i="12"/>
  <c r="J59" i="12"/>
  <c r="H59" i="12"/>
  <c r="H64" i="12"/>
  <c r="G64" i="12"/>
  <c r="F64" i="12"/>
  <c r="E64" i="12"/>
  <c r="P64" i="12"/>
  <c r="K64" i="12"/>
  <c r="O64" i="12"/>
  <c r="N64" i="12"/>
  <c r="I64" i="12"/>
  <c r="M64" i="12"/>
  <c r="L64" i="12"/>
  <c r="J64" i="12"/>
  <c r="H58" i="12"/>
  <c r="G58" i="12"/>
  <c r="F58" i="12"/>
  <c r="E58" i="12"/>
  <c r="P58" i="12"/>
  <c r="K58" i="12"/>
  <c r="M58" i="12"/>
  <c r="O58" i="12"/>
  <c r="N58" i="12"/>
  <c r="L58" i="12"/>
  <c r="I58" i="12"/>
  <c r="J58" i="12"/>
  <c r="P54" i="12"/>
  <c r="O54" i="12"/>
  <c r="N54" i="12"/>
  <c r="M54" i="12"/>
  <c r="L54" i="12"/>
  <c r="G54" i="12"/>
  <c r="K54" i="12"/>
  <c r="J54" i="12"/>
  <c r="I54" i="12"/>
  <c r="H54" i="12"/>
  <c r="E54" i="12"/>
  <c r="F54" i="12"/>
  <c r="F47" i="12"/>
  <c r="E47" i="12"/>
  <c r="P47" i="12"/>
  <c r="O47" i="12"/>
  <c r="N47" i="12"/>
  <c r="I47" i="12"/>
  <c r="M47" i="12"/>
  <c r="G47" i="12"/>
  <c r="L47" i="12"/>
  <c r="K47" i="12"/>
  <c r="J47" i="12"/>
  <c r="H47" i="12"/>
  <c r="J51" i="12"/>
  <c r="I51" i="12"/>
  <c r="H51" i="12"/>
  <c r="G51" i="12"/>
  <c r="F51" i="12"/>
  <c r="M51" i="12"/>
  <c r="E51" i="12"/>
  <c r="P51" i="12"/>
  <c r="O51" i="12"/>
  <c r="N51" i="12"/>
  <c r="L51" i="12"/>
  <c r="K51" i="12"/>
  <c r="F53" i="12"/>
  <c r="E53" i="12"/>
  <c r="P53" i="12"/>
  <c r="O53" i="12"/>
  <c r="N53" i="12"/>
  <c r="I53" i="12"/>
  <c r="M53" i="12"/>
  <c r="L53" i="12"/>
  <c r="J53" i="12"/>
  <c r="G53" i="12"/>
  <c r="K53" i="12"/>
  <c r="H53" i="12"/>
  <c r="B76" i="11" l="1"/>
  <c r="D74" i="11"/>
  <c r="E74" i="11" s="1"/>
  <c r="P73" i="11"/>
  <c r="O73" i="11"/>
  <c r="H73" i="11"/>
  <c r="G73" i="11"/>
  <c r="D73" i="11"/>
  <c r="B73" i="11"/>
  <c r="B70" i="11"/>
  <c r="D68" i="11"/>
  <c r="E68" i="11" s="1"/>
  <c r="P67" i="11"/>
  <c r="O67" i="11"/>
  <c r="H67" i="11"/>
  <c r="G67" i="11"/>
  <c r="D67" i="11"/>
  <c r="B67" i="11"/>
  <c r="E66" i="11"/>
  <c r="B64" i="11"/>
  <c r="D62" i="11"/>
  <c r="P62" i="11" s="1"/>
  <c r="P61" i="11"/>
  <c r="O61" i="11"/>
  <c r="H61" i="11"/>
  <c r="G61" i="11"/>
  <c r="D61" i="11"/>
  <c r="B61" i="11"/>
  <c r="B58" i="11"/>
  <c r="D56" i="11"/>
  <c r="M56" i="11" s="1"/>
  <c r="P55" i="11"/>
  <c r="O55" i="11"/>
  <c r="H55" i="11"/>
  <c r="G55" i="11"/>
  <c r="D55" i="11"/>
  <c r="B55" i="11"/>
  <c r="B52" i="11"/>
  <c r="D50" i="11"/>
  <c r="E50" i="11" s="1"/>
  <c r="P49" i="11"/>
  <c r="O49" i="11"/>
  <c r="H49" i="11"/>
  <c r="G49" i="11"/>
  <c r="D49" i="11"/>
  <c r="B49" i="11"/>
  <c r="O40" i="11"/>
  <c r="N40" i="11"/>
  <c r="M40" i="11"/>
  <c r="L40" i="11"/>
  <c r="J40" i="11"/>
  <c r="I40" i="11"/>
  <c r="D40" i="11"/>
  <c r="D78" i="11" s="1"/>
  <c r="I78" i="11" s="1"/>
  <c r="B40" i="11"/>
  <c r="B78" i="11" s="1"/>
  <c r="P39" i="11"/>
  <c r="O39" i="11"/>
  <c r="N39" i="11"/>
  <c r="D39" i="11"/>
  <c r="B39" i="11"/>
  <c r="B77" i="11" s="1"/>
  <c r="D38" i="11"/>
  <c r="P38" i="11" s="1"/>
  <c r="B38" i="11"/>
  <c r="P37" i="11"/>
  <c r="G37" i="11"/>
  <c r="D37" i="11"/>
  <c r="D75" i="11" s="1"/>
  <c r="B37" i="11"/>
  <c r="B75" i="11" s="1"/>
  <c r="K36" i="11"/>
  <c r="J36" i="11"/>
  <c r="I36" i="11"/>
  <c r="H36" i="11"/>
  <c r="F36" i="11"/>
  <c r="E36" i="11"/>
  <c r="D36" i="11"/>
  <c r="P36" i="11" s="1"/>
  <c r="B36" i="11"/>
  <c r="B74" i="11" s="1"/>
  <c r="N35" i="11"/>
  <c r="M35" i="11"/>
  <c r="L35" i="11"/>
  <c r="K35" i="11"/>
  <c r="J35" i="11"/>
  <c r="I35" i="11"/>
  <c r="H35" i="11"/>
  <c r="G35" i="11"/>
  <c r="F35" i="11"/>
  <c r="E35" i="11"/>
  <c r="D35" i="11"/>
  <c r="P35" i="11" s="1"/>
  <c r="B35" i="11"/>
  <c r="O34" i="11"/>
  <c r="N34" i="11"/>
  <c r="M34" i="11"/>
  <c r="L34" i="11"/>
  <c r="J34" i="11"/>
  <c r="I34" i="11"/>
  <c r="D34" i="11"/>
  <c r="D72" i="11" s="1"/>
  <c r="I72" i="11" s="1"/>
  <c r="B34" i="11"/>
  <c r="B72" i="11" s="1"/>
  <c r="P33" i="11"/>
  <c r="O33" i="11"/>
  <c r="K33" i="11"/>
  <c r="D33" i="11"/>
  <c r="N33" i="11" s="1"/>
  <c r="B33" i="11"/>
  <c r="B71" i="11" s="1"/>
  <c r="P32" i="11"/>
  <c r="N32" i="11"/>
  <c r="M32" i="11"/>
  <c r="G32" i="11"/>
  <c r="F32" i="11"/>
  <c r="E32" i="11"/>
  <c r="D32" i="11"/>
  <c r="B32" i="11"/>
  <c r="D31" i="11"/>
  <c r="D69" i="11" s="1"/>
  <c r="B31" i="11"/>
  <c r="B69" i="11" s="1"/>
  <c r="K30" i="11"/>
  <c r="J30" i="11"/>
  <c r="I30" i="11"/>
  <c r="H30" i="11"/>
  <c r="F30" i="11"/>
  <c r="E30" i="11"/>
  <c r="D30" i="11"/>
  <c r="P30" i="11" s="1"/>
  <c r="B30" i="11"/>
  <c r="B68" i="11" s="1"/>
  <c r="N29" i="11"/>
  <c r="M29" i="11"/>
  <c r="L29" i="11"/>
  <c r="K29" i="11"/>
  <c r="J29" i="11"/>
  <c r="I29" i="11"/>
  <c r="H29" i="11"/>
  <c r="G29" i="11"/>
  <c r="F29" i="11"/>
  <c r="E29" i="11"/>
  <c r="D29" i="11"/>
  <c r="P29" i="11" s="1"/>
  <c r="B29" i="11"/>
  <c r="O28" i="11"/>
  <c r="N28" i="11"/>
  <c r="M28" i="11"/>
  <c r="L28" i="11"/>
  <c r="J28" i="11"/>
  <c r="I28" i="11"/>
  <c r="D28" i="11"/>
  <c r="D66" i="11" s="1"/>
  <c r="B28" i="11"/>
  <c r="B66" i="11" s="1"/>
  <c r="D27" i="11"/>
  <c r="P27" i="11" s="1"/>
  <c r="B27" i="11"/>
  <c r="B65" i="11" s="1"/>
  <c r="P26" i="11"/>
  <c r="N26" i="11"/>
  <c r="M26" i="11"/>
  <c r="F26" i="11"/>
  <c r="D26" i="11"/>
  <c r="G26" i="11" s="1"/>
  <c r="B26" i="11"/>
  <c r="O25" i="11"/>
  <c r="I25" i="11"/>
  <c r="H25" i="11"/>
  <c r="G25" i="11"/>
  <c r="F25" i="11"/>
  <c r="D25" i="11"/>
  <c r="B25" i="11"/>
  <c r="B63" i="11" s="1"/>
  <c r="K24" i="11"/>
  <c r="J24" i="11"/>
  <c r="I24" i="11"/>
  <c r="H24" i="11"/>
  <c r="F24" i="11"/>
  <c r="E24" i="11"/>
  <c r="D24" i="11"/>
  <c r="P24" i="11" s="1"/>
  <c r="B24" i="11"/>
  <c r="B62" i="11" s="1"/>
  <c r="N23" i="11"/>
  <c r="M23" i="11"/>
  <c r="L23" i="11"/>
  <c r="K23" i="11"/>
  <c r="J23" i="11"/>
  <c r="I23" i="11"/>
  <c r="H23" i="11"/>
  <c r="G23" i="11"/>
  <c r="F23" i="11"/>
  <c r="E23" i="11"/>
  <c r="D23" i="11"/>
  <c r="P23" i="11" s="1"/>
  <c r="B23" i="11"/>
  <c r="O22" i="11"/>
  <c r="N22" i="11"/>
  <c r="M22" i="11"/>
  <c r="L22" i="11"/>
  <c r="K22" i="11"/>
  <c r="J22" i="11"/>
  <c r="I22" i="11"/>
  <c r="H22" i="11"/>
  <c r="G22" i="11"/>
  <c r="D22" i="11"/>
  <c r="D60" i="11" s="1"/>
  <c r="H60" i="11" s="1"/>
  <c r="B22" i="11"/>
  <c r="B60" i="11" s="1"/>
  <c r="P21" i="11"/>
  <c r="O21" i="11"/>
  <c r="N21" i="11"/>
  <c r="L21" i="11"/>
  <c r="E21" i="11"/>
  <c r="D21" i="11"/>
  <c r="K21" i="11" s="1"/>
  <c r="B21" i="11"/>
  <c r="B59" i="11" s="1"/>
  <c r="D20" i="11"/>
  <c r="P20" i="11" s="1"/>
  <c r="B20" i="11"/>
  <c r="O19" i="11"/>
  <c r="D19" i="11"/>
  <c r="D57" i="11" s="1"/>
  <c r="B19" i="11"/>
  <c r="B57" i="11" s="1"/>
  <c r="K18" i="11"/>
  <c r="J18" i="11"/>
  <c r="I18" i="11"/>
  <c r="H18" i="11"/>
  <c r="F18" i="11"/>
  <c r="E18" i="11"/>
  <c r="D18" i="11"/>
  <c r="P18" i="11" s="1"/>
  <c r="B18" i="11"/>
  <c r="B56" i="11" s="1"/>
  <c r="N17" i="11"/>
  <c r="M17" i="11"/>
  <c r="L17" i="11"/>
  <c r="K17" i="11"/>
  <c r="J17" i="11"/>
  <c r="I17" i="11"/>
  <c r="H17" i="11"/>
  <c r="G17" i="11"/>
  <c r="F17" i="11"/>
  <c r="E17" i="11"/>
  <c r="D17" i="11"/>
  <c r="P17" i="11" s="1"/>
  <c r="B17" i="11"/>
  <c r="O16" i="11"/>
  <c r="N16" i="11"/>
  <c r="M16" i="11"/>
  <c r="L16" i="11"/>
  <c r="K16" i="11"/>
  <c r="J16" i="11"/>
  <c r="I16" i="11"/>
  <c r="H16" i="11"/>
  <c r="G16" i="11"/>
  <c r="D16" i="11"/>
  <c r="D54" i="11" s="1"/>
  <c r="B16" i="11"/>
  <c r="B54" i="11" s="1"/>
  <c r="D15" i="11"/>
  <c r="O15" i="11" s="1"/>
  <c r="B15" i="11"/>
  <c r="B53" i="11" s="1"/>
  <c r="P14" i="11"/>
  <c r="M14" i="11"/>
  <c r="F14" i="11"/>
  <c r="D14" i="11"/>
  <c r="N14" i="11" s="1"/>
  <c r="B14" i="11"/>
  <c r="P13" i="11"/>
  <c r="O13" i="11"/>
  <c r="I13" i="11"/>
  <c r="H13" i="11"/>
  <c r="D13" i="11"/>
  <c r="B13" i="11"/>
  <c r="B51" i="11" s="1"/>
  <c r="K12" i="11"/>
  <c r="J12" i="11"/>
  <c r="I12" i="11"/>
  <c r="H12" i="11"/>
  <c r="F12" i="11"/>
  <c r="E12" i="11"/>
  <c r="D12" i="11"/>
  <c r="P12" i="11" s="1"/>
  <c r="B12" i="11"/>
  <c r="B50" i="11" s="1"/>
  <c r="N11" i="11"/>
  <c r="M11" i="11"/>
  <c r="L11" i="11"/>
  <c r="K11" i="11"/>
  <c r="J11" i="11"/>
  <c r="I11" i="11"/>
  <c r="H11" i="11"/>
  <c r="G11" i="11"/>
  <c r="F11" i="11"/>
  <c r="E11" i="11"/>
  <c r="D11" i="11"/>
  <c r="P11" i="11" s="1"/>
  <c r="B11" i="11"/>
  <c r="O10" i="11"/>
  <c r="N10" i="11"/>
  <c r="M10" i="11"/>
  <c r="L10" i="11"/>
  <c r="K10" i="11"/>
  <c r="J10" i="11"/>
  <c r="I10" i="11"/>
  <c r="H10" i="11"/>
  <c r="G10" i="11"/>
  <c r="D10" i="11"/>
  <c r="D48" i="11" s="1"/>
  <c r="F48" i="11" s="1"/>
  <c r="B10" i="11"/>
  <c r="B48" i="11" s="1"/>
  <c r="P9" i="11"/>
  <c r="O9" i="11"/>
  <c r="L9" i="11"/>
  <c r="K9" i="11"/>
  <c r="E9" i="11"/>
  <c r="D9" i="11"/>
  <c r="N9" i="11" s="1"/>
  <c r="B9" i="11"/>
  <c r="B47" i="11" s="1"/>
  <c r="B2" i="11"/>
  <c r="J75" i="11" l="1"/>
  <c r="I75" i="11"/>
  <c r="H75" i="11"/>
  <c r="G75" i="11"/>
  <c r="E75" i="11"/>
  <c r="F75" i="11"/>
  <c r="M75" i="11"/>
  <c r="P75" i="11"/>
  <c r="K75" i="11"/>
  <c r="O75" i="11"/>
  <c r="L75" i="11"/>
  <c r="N75" i="11"/>
  <c r="J69" i="11"/>
  <c r="I69" i="11"/>
  <c r="H69" i="11"/>
  <c r="G69" i="11"/>
  <c r="F69" i="11"/>
  <c r="E69" i="11"/>
  <c r="M69" i="11"/>
  <c r="P69" i="11"/>
  <c r="N69" i="11"/>
  <c r="O69" i="11"/>
  <c r="L69" i="11"/>
  <c r="K69" i="11"/>
  <c r="J57" i="11"/>
  <c r="I57" i="11"/>
  <c r="H57" i="11"/>
  <c r="E57" i="11"/>
  <c r="G57" i="11"/>
  <c r="F57" i="11"/>
  <c r="M57" i="11"/>
  <c r="N57" i="11"/>
  <c r="O57" i="11"/>
  <c r="P57" i="11"/>
  <c r="K57" i="11"/>
  <c r="L57" i="11"/>
  <c r="G20" i="11"/>
  <c r="N13" i="11"/>
  <c r="M13" i="11"/>
  <c r="L13" i="11"/>
  <c r="K13" i="11"/>
  <c r="J13" i="11"/>
  <c r="E13" i="11"/>
  <c r="P54" i="11"/>
  <c r="O54" i="11"/>
  <c r="N54" i="11"/>
  <c r="M54" i="11"/>
  <c r="L54" i="11"/>
  <c r="K54" i="11"/>
  <c r="G54" i="11"/>
  <c r="J39" i="11"/>
  <c r="I39" i="11"/>
  <c r="D77" i="11"/>
  <c r="H39" i="11"/>
  <c r="E39" i="11"/>
  <c r="G39" i="11"/>
  <c r="F39" i="11"/>
  <c r="M39" i="11"/>
  <c r="P50" i="11"/>
  <c r="P56" i="11"/>
  <c r="P68" i="11"/>
  <c r="P74" i="11"/>
  <c r="F13" i="11"/>
  <c r="P19" i="11"/>
  <c r="L33" i="11"/>
  <c r="H37" i="11"/>
  <c r="K39" i="11"/>
  <c r="N49" i="11"/>
  <c r="M49" i="11"/>
  <c r="L49" i="11"/>
  <c r="K49" i="11"/>
  <c r="J49" i="11"/>
  <c r="I49" i="11"/>
  <c r="E49" i="11"/>
  <c r="N55" i="11"/>
  <c r="M55" i="11"/>
  <c r="L55" i="11"/>
  <c r="K55" i="11"/>
  <c r="I55" i="11"/>
  <c r="J55" i="11"/>
  <c r="E55" i="11"/>
  <c r="N61" i="11"/>
  <c r="M61" i="11"/>
  <c r="L61" i="11"/>
  <c r="K61" i="11"/>
  <c r="J61" i="11"/>
  <c r="I61" i="11"/>
  <c r="E61" i="11"/>
  <c r="N67" i="11"/>
  <c r="M67" i="11"/>
  <c r="L67" i="11"/>
  <c r="K67" i="11"/>
  <c r="J67" i="11"/>
  <c r="I67" i="11"/>
  <c r="E67" i="11"/>
  <c r="N73" i="11"/>
  <c r="M73" i="11"/>
  <c r="L73" i="11"/>
  <c r="K73" i="11"/>
  <c r="J73" i="11"/>
  <c r="I73" i="11"/>
  <c r="E73" i="11"/>
  <c r="P31" i="11"/>
  <c r="G13" i="11"/>
  <c r="N25" i="11"/>
  <c r="M25" i="11"/>
  <c r="L25" i="11"/>
  <c r="K25" i="11"/>
  <c r="J25" i="11"/>
  <c r="E25" i="11"/>
  <c r="P66" i="11"/>
  <c r="O66" i="11"/>
  <c r="N66" i="11"/>
  <c r="M66" i="11"/>
  <c r="L66" i="11"/>
  <c r="K66" i="11"/>
  <c r="G66" i="11"/>
  <c r="L32" i="11"/>
  <c r="K32" i="11"/>
  <c r="J32" i="11"/>
  <c r="I32" i="11"/>
  <c r="D70" i="11"/>
  <c r="H32" i="11"/>
  <c r="O32" i="11"/>
  <c r="O37" i="11"/>
  <c r="L39" i="11"/>
  <c r="F49" i="11"/>
  <c r="D51" i="11"/>
  <c r="F55" i="11"/>
  <c r="F61" i="11"/>
  <c r="D63" i="11"/>
  <c r="F67" i="11"/>
  <c r="F73" i="11"/>
  <c r="F20" i="11"/>
  <c r="J27" i="11"/>
  <c r="I27" i="11"/>
  <c r="D65" i="11"/>
  <c r="H27" i="11"/>
  <c r="G27" i="11"/>
  <c r="F27" i="11"/>
  <c r="M27" i="11"/>
  <c r="N31" i="11"/>
  <c r="M31" i="11"/>
  <c r="L31" i="11"/>
  <c r="K31" i="11"/>
  <c r="J31" i="11"/>
  <c r="E31" i="11"/>
  <c r="L15" i="11"/>
  <c r="N19" i="11"/>
  <c r="M19" i="11"/>
  <c r="L19" i="11"/>
  <c r="J19" i="11"/>
  <c r="K19" i="11"/>
  <c r="E19" i="11"/>
  <c r="F31" i="11"/>
  <c r="L62" i="11"/>
  <c r="K62" i="11"/>
  <c r="J62" i="11"/>
  <c r="G62" i="11"/>
  <c r="I62" i="11"/>
  <c r="H62" i="11"/>
  <c r="O62" i="11"/>
  <c r="L14" i="11"/>
  <c r="K14" i="11"/>
  <c r="J14" i="11"/>
  <c r="I14" i="11"/>
  <c r="H14" i="11"/>
  <c r="D52" i="11"/>
  <c r="O14" i="11"/>
  <c r="N15" i="11"/>
  <c r="F19" i="11"/>
  <c r="N20" i="11"/>
  <c r="P25" i="11"/>
  <c r="K27" i="11"/>
  <c r="G31" i="11"/>
  <c r="M38" i="11"/>
  <c r="F54" i="11"/>
  <c r="E56" i="11"/>
  <c r="F60" i="11"/>
  <c r="E62" i="11"/>
  <c r="F66" i="11"/>
  <c r="F72" i="11"/>
  <c r="F78" i="11"/>
  <c r="E20" i="11"/>
  <c r="P48" i="11"/>
  <c r="O48" i="11"/>
  <c r="N48" i="11"/>
  <c r="M48" i="11"/>
  <c r="K48" i="11"/>
  <c r="L48" i="11"/>
  <c r="G48" i="11"/>
  <c r="F38" i="11"/>
  <c r="E48" i="11"/>
  <c r="L50" i="11"/>
  <c r="K50" i="11"/>
  <c r="J50" i="11"/>
  <c r="I50" i="11"/>
  <c r="G50" i="11"/>
  <c r="H50" i="11"/>
  <c r="O50" i="11"/>
  <c r="E54" i="11"/>
  <c r="L68" i="11"/>
  <c r="K68" i="11"/>
  <c r="J68" i="11"/>
  <c r="I68" i="11"/>
  <c r="H68" i="11"/>
  <c r="G68" i="11"/>
  <c r="O68" i="11"/>
  <c r="E72" i="11"/>
  <c r="L74" i="11"/>
  <c r="K74" i="11"/>
  <c r="J74" i="11"/>
  <c r="I74" i="11"/>
  <c r="H74" i="11"/>
  <c r="G74" i="11"/>
  <c r="O74" i="11"/>
  <c r="E78" i="11"/>
  <c r="J9" i="11"/>
  <c r="I9" i="11"/>
  <c r="D47" i="11"/>
  <c r="H9" i="11"/>
  <c r="G9" i="11"/>
  <c r="F9" i="11"/>
  <c r="M9" i="11"/>
  <c r="E14" i="11"/>
  <c r="G19" i="11"/>
  <c r="L27" i="11"/>
  <c r="H31" i="11"/>
  <c r="N38" i="11"/>
  <c r="H48" i="11"/>
  <c r="F50" i="11"/>
  <c r="H54" i="11"/>
  <c r="F56" i="11"/>
  <c r="F62" i="11"/>
  <c r="H66" i="11"/>
  <c r="F68" i="11"/>
  <c r="H72" i="11"/>
  <c r="F74" i="11"/>
  <c r="H78" i="11"/>
  <c r="L20" i="11"/>
  <c r="K20" i="11"/>
  <c r="J20" i="11"/>
  <c r="H20" i="11"/>
  <c r="I20" i="11"/>
  <c r="D58" i="11"/>
  <c r="O20" i="11"/>
  <c r="J15" i="11"/>
  <c r="I15" i="11"/>
  <c r="D53" i="11"/>
  <c r="H15" i="11"/>
  <c r="G15" i="11"/>
  <c r="F15" i="11"/>
  <c r="M15" i="11"/>
  <c r="E38" i="11"/>
  <c r="M20" i="11"/>
  <c r="P60" i="11"/>
  <c r="O60" i="11"/>
  <c r="N60" i="11"/>
  <c r="M60" i="11"/>
  <c r="L60" i="11"/>
  <c r="K60" i="11"/>
  <c r="G60" i="11"/>
  <c r="E27" i="11"/>
  <c r="E60" i="11"/>
  <c r="P15" i="11"/>
  <c r="H19" i="11"/>
  <c r="L26" i="11"/>
  <c r="K26" i="11"/>
  <c r="J26" i="11"/>
  <c r="H26" i="11"/>
  <c r="I26" i="11"/>
  <c r="D64" i="11"/>
  <c r="O26" i="11"/>
  <c r="N27" i="11"/>
  <c r="I31" i="11"/>
  <c r="J33" i="11"/>
  <c r="I33" i="11"/>
  <c r="D71" i="11"/>
  <c r="H33" i="11"/>
  <c r="G33" i="11"/>
  <c r="F33" i="11"/>
  <c r="M33" i="11"/>
  <c r="N37" i="11"/>
  <c r="M37" i="11"/>
  <c r="L37" i="11"/>
  <c r="I37" i="11"/>
  <c r="K37" i="11"/>
  <c r="J37" i="11"/>
  <c r="E37" i="11"/>
  <c r="I48" i="11"/>
  <c r="M50" i="11"/>
  <c r="I54" i="11"/>
  <c r="I60" i="11"/>
  <c r="M62" i="11"/>
  <c r="I66" i="11"/>
  <c r="M68" i="11"/>
  <c r="M74" i="11"/>
  <c r="E15" i="11"/>
  <c r="L38" i="11"/>
  <c r="K38" i="11"/>
  <c r="J38" i="11"/>
  <c r="G38" i="11"/>
  <c r="I38" i="11"/>
  <c r="D76" i="11"/>
  <c r="H38" i="11"/>
  <c r="O38" i="11"/>
  <c r="K15" i="11"/>
  <c r="P72" i="11"/>
  <c r="O72" i="11"/>
  <c r="N72" i="11"/>
  <c r="M72" i="11"/>
  <c r="L72" i="11"/>
  <c r="K72" i="11"/>
  <c r="G72" i="11"/>
  <c r="P78" i="11"/>
  <c r="O78" i="11"/>
  <c r="N78" i="11"/>
  <c r="M78" i="11"/>
  <c r="L78" i="11"/>
  <c r="K78" i="11"/>
  <c r="G78" i="11"/>
  <c r="L56" i="11"/>
  <c r="K56" i="11"/>
  <c r="J56" i="11"/>
  <c r="G56" i="11"/>
  <c r="I56" i="11"/>
  <c r="H56" i="11"/>
  <c r="O56" i="11"/>
  <c r="G14" i="11"/>
  <c r="I19" i="11"/>
  <c r="J21" i="11"/>
  <c r="I21" i="11"/>
  <c r="D59" i="11"/>
  <c r="H21" i="11"/>
  <c r="F21" i="11"/>
  <c r="G21" i="11"/>
  <c r="M21" i="11"/>
  <c r="E26" i="11"/>
  <c r="O27" i="11"/>
  <c r="O31" i="11"/>
  <c r="E33" i="11"/>
  <c r="F37" i="11"/>
  <c r="J48" i="11"/>
  <c r="N50" i="11"/>
  <c r="J54" i="11"/>
  <c r="N56" i="11"/>
  <c r="J60" i="11"/>
  <c r="N62" i="11"/>
  <c r="J66" i="11"/>
  <c r="N68" i="11"/>
  <c r="J72" i="11"/>
  <c r="N74" i="11"/>
  <c r="J78" i="11"/>
  <c r="G12" i="11"/>
  <c r="G18" i="11"/>
  <c r="G24" i="11"/>
  <c r="K28" i="11"/>
  <c r="G30" i="11"/>
  <c r="K34" i="11"/>
  <c r="G36" i="11"/>
  <c r="K40" i="11"/>
  <c r="P10" i="11"/>
  <c r="L24" i="11"/>
  <c r="P28" i="11"/>
  <c r="L30" i="11"/>
  <c r="P34" i="11"/>
  <c r="L36" i="11"/>
  <c r="P40" i="11"/>
  <c r="L12" i="11"/>
  <c r="P16" i="11"/>
  <c r="E10" i="11"/>
  <c r="O11" i="11"/>
  <c r="M12" i="11"/>
  <c r="E16" i="11"/>
  <c r="O17" i="11"/>
  <c r="M18" i="11"/>
  <c r="E22" i="11"/>
  <c r="O23" i="11"/>
  <c r="M24" i="11"/>
  <c r="E28" i="11"/>
  <c r="O29" i="11"/>
  <c r="M30" i="11"/>
  <c r="E34" i="11"/>
  <c r="O35" i="11"/>
  <c r="M36" i="11"/>
  <c r="E40" i="11"/>
  <c r="L18" i="11"/>
  <c r="P22" i="11"/>
  <c r="F10" i="11"/>
  <c r="N12" i="11"/>
  <c r="F16" i="11"/>
  <c r="N18" i="11"/>
  <c r="F22" i="11"/>
  <c r="N24" i="11"/>
  <c r="F28" i="11"/>
  <c r="N30" i="11"/>
  <c r="F34" i="11"/>
  <c r="N36" i="11"/>
  <c r="F40" i="11"/>
  <c r="O12" i="11"/>
  <c r="O18" i="11"/>
  <c r="O24" i="11"/>
  <c r="G28" i="11"/>
  <c r="O30" i="11"/>
  <c r="G34" i="11"/>
  <c r="O36" i="11"/>
  <c r="G40" i="11"/>
  <c r="H28" i="11"/>
  <c r="H34" i="11"/>
  <c r="H40" i="11"/>
  <c r="H52" i="11" l="1"/>
  <c r="G52" i="11"/>
  <c r="F52" i="11"/>
  <c r="E52" i="11"/>
  <c r="P52" i="11"/>
  <c r="O52" i="11"/>
  <c r="K52" i="11"/>
  <c r="L52" i="11"/>
  <c r="J52" i="11"/>
  <c r="I52" i="11"/>
  <c r="N52" i="11"/>
  <c r="M52" i="11"/>
  <c r="J63" i="11"/>
  <c r="I63" i="11"/>
  <c r="H63" i="11"/>
  <c r="G63" i="11"/>
  <c r="F63" i="11"/>
  <c r="E63" i="11"/>
  <c r="M63" i="11"/>
  <c r="N63" i="11"/>
  <c r="O63" i="11"/>
  <c r="P63" i="11"/>
  <c r="L63" i="11"/>
  <c r="K63" i="11"/>
  <c r="H76" i="11"/>
  <c r="G76" i="11"/>
  <c r="F76" i="11"/>
  <c r="E76" i="11"/>
  <c r="P76" i="11"/>
  <c r="O76" i="11"/>
  <c r="K76" i="11"/>
  <c r="L76" i="11"/>
  <c r="J76" i="11"/>
  <c r="I76" i="11"/>
  <c r="N76" i="11"/>
  <c r="M76" i="11"/>
  <c r="F47" i="11"/>
  <c r="E47" i="11"/>
  <c r="P47" i="11"/>
  <c r="O47" i="11"/>
  <c r="N47" i="11"/>
  <c r="M47" i="11"/>
  <c r="I47" i="11"/>
  <c r="H47" i="11"/>
  <c r="L47" i="11"/>
  <c r="G47" i="11"/>
  <c r="K47" i="11"/>
  <c r="J47" i="11"/>
  <c r="H64" i="11"/>
  <c r="G64" i="11"/>
  <c r="F64" i="11"/>
  <c r="E64" i="11"/>
  <c r="P64" i="11"/>
  <c r="O64" i="11"/>
  <c r="K64" i="11"/>
  <c r="L64" i="11"/>
  <c r="J64" i="11"/>
  <c r="I64" i="11"/>
  <c r="N64" i="11"/>
  <c r="M64" i="11"/>
  <c r="H58" i="11"/>
  <c r="G58" i="11"/>
  <c r="F58" i="11"/>
  <c r="O58" i="11"/>
  <c r="E58" i="11"/>
  <c r="P58" i="11"/>
  <c r="K58" i="11"/>
  <c r="L58" i="11"/>
  <c r="J58" i="11"/>
  <c r="I58" i="11"/>
  <c r="N58" i="11"/>
  <c r="M58" i="11"/>
  <c r="F65" i="11"/>
  <c r="E65" i="11"/>
  <c r="P65" i="11"/>
  <c r="O65" i="11"/>
  <c r="N65" i="11"/>
  <c r="M65" i="11"/>
  <c r="I65" i="11"/>
  <c r="K65" i="11"/>
  <c r="L65" i="11"/>
  <c r="H65" i="11"/>
  <c r="G65" i="11"/>
  <c r="J65" i="11"/>
  <c r="F53" i="11"/>
  <c r="E53" i="11"/>
  <c r="P53" i="11"/>
  <c r="M53" i="11"/>
  <c r="O53" i="11"/>
  <c r="N53" i="11"/>
  <c r="I53" i="11"/>
  <c r="L53" i="11"/>
  <c r="K53" i="11"/>
  <c r="G53" i="11"/>
  <c r="J53" i="11"/>
  <c r="H53" i="11"/>
  <c r="J51" i="11"/>
  <c r="I51" i="11"/>
  <c r="H51" i="11"/>
  <c r="G51" i="11"/>
  <c r="F51" i="11"/>
  <c r="E51" i="11"/>
  <c r="M51" i="11"/>
  <c r="O51" i="11"/>
  <c r="K51" i="11"/>
  <c r="P51" i="11"/>
  <c r="N51" i="11"/>
  <c r="L51" i="11"/>
  <c r="F71" i="11"/>
  <c r="E71" i="11"/>
  <c r="P71" i="11"/>
  <c r="O71" i="11"/>
  <c r="N71" i="11"/>
  <c r="M71" i="11"/>
  <c r="I71" i="11"/>
  <c r="L71" i="11"/>
  <c r="G71" i="11"/>
  <c r="K71" i="11"/>
  <c r="J71" i="11"/>
  <c r="H71" i="11"/>
  <c r="H70" i="11"/>
  <c r="G70" i="11"/>
  <c r="F70" i="11"/>
  <c r="E70" i="11"/>
  <c r="P70" i="11"/>
  <c r="O70" i="11"/>
  <c r="K70" i="11"/>
  <c r="L70" i="11"/>
  <c r="J70" i="11"/>
  <c r="I70" i="11"/>
  <c r="N70" i="11"/>
  <c r="M70" i="11"/>
  <c r="F59" i="11"/>
  <c r="E59" i="11"/>
  <c r="P59" i="11"/>
  <c r="O59" i="11"/>
  <c r="N59" i="11"/>
  <c r="M59" i="11"/>
  <c r="I59" i="11"/>
  <c r="K59" i="11"/>
  <c r="L59" i="11"/>
  <c r="H59" i="11"/>
  <c r="G59" i="11"/>
  <c r="J59" i="11"/>
  <c r="F77" i="11"/>
  <c r="E77" i="11"/>
  <c r="P77" i="11"/>
  <c r="M77" i="11"/>
  <c r="O77" i="11"/>
  <c r="N77" i="11"/>
  <c r="I77" i="11"/>
  <c r="K77" i="11"/>
  <c r="L77" i="11"/>
  <c r="H77" i="11"/>
  <c r="G77" i="11"/>
  <c r="J77" i="11"/>
  <c r="I78" i="10" l="1"/>
  <c r="H78" i="10"/>
  <c r="B76" i="10"/>
  <c r="D75" i="10"/>
  <c r="O75" i="10" s="1"/>
  <c r="B75" i="10"/>
  <c r="P74" i="10"/>
  <c r="G74" i="10"/>
  <c r="F74" i="10"/>
  <c r="D74" i="10"/>
  <c r="B73" i="10"/>
  <c r="B70" i="10"/>
  <c r="P69" i="10"/>
  <c r="O69" i="10"/>
  <c r="N69" i="10"/>
  <c r="E69" i="10"/>
  <c r="D69" i="10"/>
  <c r="D68" i="10"/>
  <c r="E68" i="10" s="1"/>
  <c r="B67" i="10"/>
  <c r="B64" i="10"/>
  <c r="D63" i="10"/>
  <c r="P63" i="10" s="1"/>
  <c r="P62" i="10"/>
  <c r="G62" i="10"/>
  <c r="F62" i="10"/>
  <c r="E62" i="10"/>
  <c r="D62" i="10"/>
  <c r="P57" i="10"/>
  <c r="O57" i="10"/>
  <c r="N57" i="10"/>
  <c r="K57" i="10"/>
  <c r="E57" i="10"/>
  <c r="D57" i="10"/>
  <c r="D56" i="10"/>
  <c r="D51" i="10"/>
  <c r="D50" i="10"/>
  <c r="P50" i="10" s="1"/>
  <c r="O40" i="10"/>
  <c r="N40" i="10"/>
  <c r="M40" i="10"/>
  <c r="L40" i="10"/>
  <c r="I40" i="10"/>
  <c r="D40" i="10"/>
  <c r="D78" i="10" s="1"/>
  <c r="B40" i="10"/>
  <c r="B78" i="10" s="1"/>
  <c r="D39" i="10"/>
  <c r="B39" i="10"/>
  <c r="B77" i="10" s="1"/>
  <c r="D38" i="10"/>
  <c r="P38" i="10" s="1"/>
  <c r="B38" i="10"/>
  <c r="O37" i="10"/>
  <c r="L37" i="10"/>
  <c r="K37" i="10"/>
  <c r="J37" i="10"/>
  <c r="I37" i="10"/>
  <c r="H37" i="10"/>
  <c r="G37" i="10"/>
  <c r="F37" i="10"/>
  <c r="E37" i="10"/>
  <c r="D37" i="10"/>
  <c r="N37" i="10" s="1"/>
  <c r="B37" i="10"/>
  <c r="N36" i="10"/>
  <c r="M36" i="10"/>
  <c r="L36" i="10"/>
  <c r="K36" i="10"/>
  <c r="J36" i="10"/>
  <c r="I36" i="10"/>
  <c r="H36" i="10"/>
  <c r="G36" i="10"/>
  <c r="F36" i="10"/>
  <c r="E36" i="10"/>
  <c r="D36" i="10"/>
  <c r="P36" i="10" s="1"/>
  <c r="B36" i="10"/>
  <c r="B74" i="10" s="1"/>
  <c r="O35" i="10"/>
  <c r="N35" i="10"/>
  <c r="M35" i="10"/>
  <c r="L35" i="10"/>
  <c r="K35" i="10"/>
  <c r="J35" i="10"/>
  <c r="I35" i="10"/>
  <c r="G35" i="10"/>
  <c r="D35" i="10"/>
  <c r="F35" i="10" s="1"/>
  <c r="B35" i="10"/>
  <c r="O34" i="10"/>
  <c r="N34" i="10"/>
  <c r="M34" i="10"/>
  <c r="L34" i="10"/>
  <c r="I34" i="10"/>
  <c r="E34" i="10"/>
  <c r="D34" i="10"/>
  <c r="D72" i="10" s="1"/>
  <c r="B34" i="10"/>
  <c r="B72" i="10" s="1"/>
  <c r="E33" i="10"/>
  <c r="D33" i="10"/>
  <c r="P33" i="10" s="1"/>
  <c r="B33" i="10"/>
  <c r="B71" i="10" s="1"/>
  <c r="P32" i="10"/>
  <c r="M32" i="10"/>
  <c r="G32" i="10"/>
  <c r="F32" i="10"/>
  <c r="E32" i="10"/>
  <c r="D32" i="10"/>
  <c r="B32" i="10"/>
  <c r="O31" i="10"/>
  <c r="L31" i="10"/>
  <c r="K31" i="10"/>
  <c r="J31" i="10"/>
  <c r="I31" i="10"/>
  <c r="H31" i="10"/>
  <c r="G31" i="10"/>
  <c r="F31" i="10"/>
  <c r="E31" i="10"/>
  <c r="D31" i="10"/>
  <c r="N31" i="10" s="1"/>
  <c r="B31" i="10"/>
  <c r="B69" i="10" s="1"/>
  <c r="N30" i="10"/>
  <c r="M30" i="10"/>
  <c r="L30" i="10"/>
  <c r="K30" i="10"/>
  <c r="J30" i="10"/>
  <c r="I30" i="10"/>
  <c r="H30" i="10"/>
  <c r="G30" i="10"/>
  <c r="F30" i="10"/>
  <c r="E30" i="10"/>
  <c r="D30" i="10"/>
  <c r="P30" i="10" s="1"/>
  <c r="B30" i="10"/>
  <c r="B68" i="10" s="1"/>
  <c r="O29" i="10"/>
  <c r="N29" i="10"/>
  <c r="M29" i="10"/>
  <c r="L29" i="10"/>
  <c r="K29" i="10"/>
  <c r="J29" i="10"/>
  <c r="I29" i="10"/>
  <c r="G29" i="10"/>
  <c r="D29" i="10"/>
  <c r="F29" i="10" s="1"/>
  <c r="B29" i="10"/>
  <c r="O28" i="10"/>
  <c r="N28" i="10"/>
  <c r="M28" i="10"/>
  <c r="L28" i="10"/>
  <c r="I28" i="10"/>
  <c r="E28" i="10"/>
  <c r="D28" i="10"/>
  <c r="D66" i="10" s="1"/>
  <c r="K66" i="10" s="1"/>
  <c r="B28" i="10"/>
  <c r="B66" i="10" s="1"/>
  <c r="P27" i="10"/>
  <c r="O27" i="10"/>
  <c r="N27" i="10"/>
  <c r="K27" i="10"/>
  <c r="E27" i="10"/>
  <c r="D27" i="10"/>
  <c r="B27" i="10"/>
  <c r="B65" i="10" s="1"/>
  <c r="D26" i="10"/>
  <c r="M26" i="10" s="1"/>
  <c r="B26" i="10"/>
  <c r="O25" i="10"/>
  <c r="L25" i="10"/>
  <c r="K25" i="10"/>
  <c r="J25" i="10"/>
  <c r="I25" i="10"/>
  <c r="H25" i="10"/>
  <c r="G25" i="10"/>
  <c r="F25" i="10"/>
  <c r="E25" i="10"/>
  <c r="D25" i="10"/>
  <c r="N25" i="10" s="1"/>
  <c r="B25" i="10"/>
  <c r="B63" i="10" s="1"/>
  <c r="N24" i="10"/>
  <c r="M24" i="10"/>
  <c r="L24" i="10"/>
  <c r="K24" i="10"/>
  <c r="J24" i="10"/>
  <c r="I24" i="10"/>
  <c r="H24" i="10"/>
  <c r="G24" i="10"/>
  <c r="F24" i="10"/>
  <c r="E24" i="10"/>
  <c r="D24" i="10"/>
  <c r="P24" i="10" s="1"/>
  <c r="B24" i="10"/>
  <c r="B62" i="10" s="1"/>
  <c r="O23" i="10"/>
  <c r="N23" i="10"/>
  <c r="M23" i="10"/>
  <c r="L23" i="10"/>
  <c r="K23" i="10"/>
  <c r="J23" i="10"/>
  <c r="I23" i="10"/>
  <c r="G23" i="10"/>
  <c r="D23" i="10"/>
  <c r="F23" i="10" s="1"/>
  <c r="B23" i="10"/>
  <c r="B61" i="10" s="1"/>
  <c r="P22" i="10"/>
  <c r="O22" i="10"/>
  <c r="N22" i="10"/>
  <c r="M22" i="10"/>
  <c r="L22" i="10"/>
  <c r="K22" i="10"/>
  <c r="D22" i="10"/>
  <c r="B22" i="10"/>
  <c r="B60" i="10" s="1"/>
  <c r="D21" i="10"/>
  <c r="B21" i="10"/>
  <c r="B59" i="10" s="1"/>
  <c r="D20" i="10"/>
  <c r="O20" i="10" s="1"/>
  <c r="B20" i="10"/>
  <c r="B58" i="10" s="1"/>
  <c r="O19" i="10"/>
  <c r="L19" i="10"/>
  <c r="K19" i="10"/>
  <c r="J19" i="10"/>
  <c r="I19" i="10"/>
  <c r="H19" i="10"/>
  <c r="G19" i="10"/>
  <c r="F19" i="10"/>
  <c r="E19" i="10"/>
  <c r="D19" i="10"/>
  <c r="N19" i="10" s="1"/>
  <c r="B19" i="10"/>
  <c r="B57" i="10" s="1"/>
  <c r="N18" i="10"/>
  <c r="M18" i="10"/>
  <c r="L18" i="10"/>
  <c r="K18" i="10"/>
  <c r="J18" i="10"/>
  <c r="I18" i="10"/>
  <c r="H18" i="10"/>
  <c r="G18" i="10"/>
  <c r="F18" i="10"/>
  <c r="E18" i="10"/>
  <c r="D18" i="10"/>
  <c r="P18" i="10" s="1"/>
  <c r="B18" i="10"/>
  <c r="B56" i="10" s="1"/>
  <c r="O17" i="10"/>
  <c r="N17" i="10"/>
  <c r="M17" i="10"/>
  <c r="L17" i="10"/>
  <c r="K17" i="10"/>
  <c r="J17" i="10"/>
  <c r="I17" i="10"/>
  <c r="G17" i="10"/>
  <c r="D17" i="10"/>
  <c r="F17" i="10" s="1"/>
  <c r="B17" i="10"/>
  <c r="B55" i="10" s="1"/>
  <c r="P16" i="10"/>
  <c r="O16" i="10"/>
  <c r="N16" i="10"/>
  <c r="M16" i="10"/>
  <c r="L16" i="10"/>
  <c r="K16" i="10"/>
  <c r="I16" i="10"/>
  <c r="E16" i="10"/>
  <c r="D16" i="10"/>
  <c r="B16" i="10"/>
  <c r="B54" i="10" s="1"/>
  <c r="P15" i="10"/>
  <c r="O15" i="10"/>
  <c r="N15" i="10"/>
  <c r="M15" i="10"/>
  <c r="K15" i="10"/>
  <c r="G15" i="10"/>
  <c r="F15" i="10"/>
  <c r="D15" i="10"/>
  <c r="B15" i="10"/>
  <c r="B53" i="10" s="1"/>
  <c r="I14" i="10"/>
  <c r="H14" i="10"/>
  <c r="G14" i="10"/>
  <c r="F14" i="10"/>
  <c r="E14" i="10"/>
  <c r="D14" i="10"/>
  <c r="B14" i="10"/>
  <c r="B52" i="10" s="1"/>
  <c r="O13" i="10"/>
  <c r="L13" i="10"/>
  <c r="K13" i="10"/>
  <c r="J13" i="10"/>
  <c r="I13" i="10"/>
  <c r="H13" i="10"/>
  <c r="G13" i="10"/>
  <c r="F13" i="10"/>
  <c r="E13" i="10"/>
  <c r="D13" i="10"/>
  <c r="N13" i="10" s="1"/>
  <c r="B13" i="10"/>
  <c r="B51" i="10" s="1"/>
  <c r="N12" i="10"/>
  <c r="M12" i="10"/>
  <c r="L12" i="10"/>
  <c r="K12" i="10"/>
  <c r="J12" i="10"/>
  <c r="I12" i="10"/>
  <c r="H12" i="10"/>
  <c r="G12" i="10"/>
  <c r="F12" i="10"/>
  <c r="E12" i="10"/>
  <c r="D12" i="10"/>
  <c r="P12" i="10" s="1"/>
  <c r="B12" i="10"/>
  <c r="B50" i="10" s="1"/>
  <c r="O11" i="10"/>
  <c r="N11" i="10"/>
  <c r="M11" i="10"/>
  <c r="L11" i="10"/>
  <c r="K11" i="10"/>
  <c r="J11" i="10"/>
  <c r="I11" i="10"/>
  <c r="G11" i="10"/>
  <c r="D11" i="10"/>
  <c r="F11" i="10" s="1"/>
  <c r="B11" i="10"/>
  <c r="B49" i="10" s="1"/>
  <c r="P10" i="10"/>
  <c r="D10" i="10"/>
  <c r="M10" i="10" s="1"/>
  <c r="B10" i="10"/>
  <c r="B48" i="10" s="1"/>
  <c r="P9" i="10"/>
  <c r="O9" i="10"/>
  <c r="N9" i="10"/>
  <c r="M9" i="10"/>
  <c r="D9" i="10"/>
  <c r="B9" i="10"/>
  <c r="B47" i="10" s="1"/>
  <c r="B2" i="10"/>
  <c r="J21" i="10" l="1"/>
  <c r="H21" i="10"/>
  <c r="I21" i="10"/>
  <c r="D59" i="10"/>
  <c r="G21" i="10"/>
  <c r="L21" i="10"/>
  <c r="J39" i="10"/>
  <c r="I39" i="10"/>
  <c r="D77" i="10"/>
  <c r="H39" i="10"/>
  <c r="G39" i="10"/>
  <c r="F39" i="10"/>
  <c r="M39" i="10"/>
  <c r="L39" i="10"/>
  <c r="E26" i="10"/>
  <c r="L56" i="10"/>
  <c r="K56" i="10"/>
  <c r="J56" i="10"/>
  <c r="I56" i="10"/>
  <c r="H56" i="10"/>
  <c r="O56" i="10"/>
  <c r="N56" i="10"/>
  <c r="J9" i="10"/>
  <c r="I9" i="10"/>
  <c r="H9" i="10"/>
  <c r="D47" i="10"/>
  <c r="L9" i="10"/>
  <c r="G9" i="10"/>
  <c r="J15" i="10"/>
  <c r="H15" i="10"/>
  <c r="I15" i="10"/>
  <c r="D53" i="10"/>
  <c r="L15" i="10"/>
  <c r="D60" i="10"/>
  <c r="H22" i="10"/>
  <c r="E22" i="10"/>
  <c r="G22" i="10"/>
  <c r="F22" i="10"/>
  <c r="J22" i="10"/>
  <c r="O33" i="10"/>
  <c r="M38" i="10"/>
  <c r="M50" i="10"/>
  <c r="P56" i="10"/>
  <c r="J66" i="10"/>
  <c r="L74" i="10"/>
  <c r="K74" i="10"/>
  <c r="J74" i="10"/>
  <c r="I74" i="10"/>
  <c r="H74" i="10"/>
  <c r="O74" i="10"/>
  <c r="N74" i="10"/>
  <c r="M74" i="10"/>
  <c r="J51" i="10"/>
  <c r="I51" i="10"/>
  <c r="H51" i="10"/>
  <c r="G51" i="10"/>
  <c r="F51" i="10"/>
  <c r="M51" i="10"/>
  <c r="L51" i="10"/>
  <c r="E21" i="10"/>
  <c r="E51" i="10"/>
  <c r="L20" i="10"/>
  <c r="K20" i="10"/>
  <c r="J20" i="10"/>
  <c r="D58" i="10"/>
  <c r="N20" i="10"/>
  <c r="F21" i="10"/>
  <c r="K51" i="10"/>
  <c r="N39" i="10"/>
  <c r="N51" i="10"/>
  <c r="D48" i="10"/>
  <c r="H10" i="10"/>
  <c r="G10" i="10"/>
  <c r="F10" i="10"/>
  <c r="J10" i="10"/>
  <c r="F20" i="10"/>
  <c r="H20" i="10"/>
  <c r="K9" i="10"/>
  <c r="N10" i="10"/>
  <c r="E15" i="10"/>
  <c r="P20" i="10"/>
  <c r="I22" i="10"/>
  <c r="J27" i="10"/>
  <c r="G27" i="10"/>
  <c r="I27" i="10"/>
  <c r="D65" i="10"/>
  <c r="H27" i="10"/>
  <c r="F27" i="10"/>
  <c r="M27" i="10"/>
  <c r="L27" i="10"/>
  <c r="L32" i="10"/>
  <c r="K32" i="10"/>
  <c r="J32" i="10"/>
  <c r="I32" i="10"/>
  <c r="D70" i="10"/>
  <c r="H32" i="10"/>
  <c r="O32" i="10"/>
  <c r="N32" i="10"/>
  <c r="J69" i="10"/>
  <c r="I69" i="10"/>
  <c r="H69" i="10"/>
  <c r="G69" i="10"/>
  <c r="F69" i="10"/>
  <c r="M69" i="10"/>
  <c r="L69" i="10"/>
  <c r="K69" i="10"/>
  <c r="E74" i="10"/>
  <c r="P72" i="10"/>
  <c r="O72" i="10"/>
  <c r="N72" i="10"/>
  <c r="M72" i="10"/>
  <c r="L72" i="10"/>
  <c r="G72" i="10"/>
  <c r="F72" i="10"/>
  <c r="E72" i="10"/>
  <c r="O10" i="10"/>
  <c r="L14" i="10"/>
  <c r="K14" i="10"/>
  <c r="J14" i="10"/>
  <c r="D52" i="10"/>
  <c r="N14" i="10"/>
  <c r="J57" i="10"/>
  <c r="I57" i="10"/>
  <c r="H57" i="10"/>
  <c r="G57" i="10"/>
  <c r="F57" i="10"/>
  <c r="M57" i="10"/>
  <c r="L57" i="10"/>
  <c r="L62" i="10"/>
  <c r="K62" i="10"/>
  <c r="J62" i="10"/>
  <c r="I62" i="10"/>
  <c r="H62" i="10"/>
  <c r="O62" i="10"/>
  <c r="N62" i="10"/>
  <c r="M62" i="10"/>
  <c r="O39" i="10"/>
  <c r="E10" i="10"/>
  <c r="M14" i="10"/>
  <c r="G20" i="10"/>
  <c r="N21" i="10"/>
  <c r="F26" i="10"/>
  <c r="P66" i="10"/>
  <c r="O66" i="10"/>
  <c r="N66" i="10"/>
  <c r="M66" i="10"/>
  <c r="L66" i="10"/>
  <c r="G66" i="10"/>
  <c r="F66" i="10"/>
  <c r="E66" i="10"/>
  <c r="J33" i="10"/>
  <c r="I33" i="10"/>
  <c r="H33" i="10"/>
  <c r="D71" i="10"/>
  <c r="G33" i="10"/>
  <c r="F33" i="10"/>
  <c r="M33" i="10"/>
  <c r="L33" i="10"/>
  <c r="L38" i="10"/>
  <c r="K38" i="10"/>
  <c r="J38" i="10"/>
  <c r="I38" i="10"/>
  <c r="D76" i="10"/>
  <c r="H38" i="10"/>
  <c r="O38" i="10"/>
  <c r="N38" i="10"/>
  <c r="P39" i="10"/>
  <c r="L50" i="10"/>
  <c r="K50" i="10"/>
  <c r="J50" i="10"/>
  <c r="I50" i="10"/>
  <c r="H50" i="10"/>
  <c r="O50" i="10"/>
  <c r="N50" i="10"/>
  <c r="P51" i="10"/>
  <c r="E56" i="10"/>
  <c r="J63" i="10"/>
  <c r="I63" i="10"/>
  <c r="H63" i="10"/>
  <c r="G63" i="10"/>
  <c r="F63" i="10"/>
  <c r="M63" i="10"/>
  <c r="L63" i="10"/>
  <c r="K63" i="10"/>
  <c r="N75" i="10"/>
  <c r="J72" i="10"/>
  <c r="K72" i="10"/>
  <c r="L68" i="10"/>
  <c r="K68" i="10"/>
  <c r="J68" i="10"/>
  <c r="I68" i="10"/>
  <c r="H68" i="10"/>
  <c r="O68" i="10"/>
  <c r="N68" i="10"/>
  <c r="M68" i="10"/>
  <c r="O14" i="10"/>
  <c r="G26" i="10"/>
  <c r="E38" i="10"/>
  <c r="E50" i="10"/>
  <c r="F56" i="10"/>
  <c r="E63" i="10"/>
  <c r="F68" i="10"/>
  <c r="H72" i="10"/>
  <c r="E20" i="10"/>
  <c r="K21" i="10"/>
  <c r="J75" i="10"/>
  <c r="I75" i="10"/>
  <c r="H75" i="10"/>
  <c r="G75" i="10"/>
  <c r="F75" i="10"/>
  <c r="M75" i="10"/>
  <c r="L75" i="10"/>
  <c r="K75" i="10"/>
  <c r="M21" i="10"/>
  <c r="E75" i="10"/>
  <c r="I10" i="10"/>
  <c r="O21" i="10"/>
  <c r="E9" i="10"/>
  <c r="K10" i="10"/>
  <c r="P14" i="10"/>
  <c r="D54" i="10"/>
  <c r="H16" i="10"/>
  <c r="G16" i="10"/>
  <c r="F16" i="10"/>
  <c r="J16" i="10"/>
  <c r="I20" i="10"/>
  <c r="P21" i="10"/>
  <c r="K33" i="10"/>
  <c r="F38" i="10"/>
  <c r="P78" i="10"/>
  <c r="O78" i="10"/>
  <c r="N78" i="10"/>
  <c r="M78" i="10"/>
  <c r="L78" i="10"/>
  <c r="G78" i="10"/>
  <c r="F78" i="10"/>
  <c r="E78" i="10"/>
  <c r="F50" i="10"/>
  <c r="G56" i="10"/>
  <c r="N63" i="10"/>
  <c r="H66" i="10"/>
  <c r="G68" i="10"/>
  <c r="P75" i="10"/>
  <c r="J78" i="10"/>
  <c r="E39" i="10"/>
  <c r="I72" i="10"/>
  <c r="K39" i="10"/>
  <c r="L26" i="10"/>
  <c r="I26" i="10"/>
  <c r="K26" i="10"/>
  <c r="J26" i="10"/>
  <c r="D64" i="10"/>
  <c r="H26" i="10"/>
  <c r="O26" i="10"/>
  <c r="N26" i="10"/>
  <c r="O51" i="10"/>
  <c r="F9" i="10"/>
  <c r="L10" i="10"/>
  <c r="M20" i="10"/>
  <c r="P26" i="10"/>
  <c r="N33" i="10"/>
  <c r="G38" i="10"/>
  <c r="G50" i="10"/>
  <c r="M56" i="10"/>
  <c r="O63" i="10"/>
  <c r="I66" i="10"/>
  <c r="P68" i="10"/>
  <c r="K78" i="10"/>
  <c r="H11" i="10"/>
  <c r="P13" i="10"/>
  <c r="H17" i="10"/>
  <c r="P19" i="10"/>
  <c r="H23" i="10"/>
  <c r="P25" i="10"/>
  <c r="J28" i="10"/>
  <c r="H29" i="10"/>
  <c r="P31" i="10"/>
  <c r="J34" i="10"/>
  <c r="H35" i="10"/>
  <c r="P37" i="10"/>
  <c r="J40" i="10"/>
  <c r="D49" i="10"/>
  <c r="D55" i="10"/>
  <c r="D61" i="10"/>
  <c r="D67" i="10"/>
  <c r="D73" i="10"/>
  <c r="K28" i="10"/>
  <c r="K34" i="10"/>
  <c r="K40" i="10"/>
  <c r="P28" i="10"/>
  <c r="P34" i="10"/>
  <c r="P40" i="10"/>
  <c r="E40" i="10"/>
  <c r="F28" i="10"/>
  <c r="P29" i="10"/>
  <c r="F40" i="10"/>
  <c r="P11" i="10"/>
  <c r="P17" i="10"/>
  <c r="F34" i="10"/>
  <c r="P35" i="10"/>
  <c r="E11" i="10"/>
  <c r="O12" i="10"/>
  <c r="M13" i="10"/>
  <c r="E17" i="10"/>
  <c r="O18" i="10"/>
  <c r="M19" i="10"/>
  <c r="E23" i="10"/>
  <c r="O24" i="10"/>
  <c r="M25" i="10"/>
  <c r="G28" i="10"/>
  <c r="E29" i="10"/>
  <c r="O30" i="10"/>
  <c r="M31" i="10"/>
  <c r="G34" i="10"/>
  <c r="E35" i="10"/>
  <c r="O36" i="10"/>
  <c r="M37" i="10"/>
  <c r="G40" i="10"/>
  <c r="P23" i="10"/>
  <c r="H28" i="10"/>
  <c r="H34" i="10"/>
  <c r="H40" i="10"/>
  <c r="N67" i="10" l="1"/>
  <c r="M67" i="10"/>
  <c r="L67" i="10"/>
  <c r="K67" i="10"/>
  <c r="J67" i="10"/>
  <c r="E67" i="10"/>
  <c r="P67" i="10"/>
  <c r="O67" i="10"/>
  <c r="I67" i="10"/>
  <c r="H67" i="10"/>
  <c r="F67" i="10"/>
  <c r="G67" i="10"/>
  <c r="N49" i="10"/>
  <c r="M49" i="10"/>
  <c r="L49" i="10"/>
  <c r="K49" i="10"/>
  <c r="J49" i="10"/>
  <c r="E49" i="10"/>
  <c r="P49" i="10"/>
  <c r="O49" i="10"/>
  <c r="I49" i="10"/>
  <c r="G49" i="10"/>
  <c r="H49" i="10"/>
  <c r="F49" i="10"/>
  <c r="H64" i="10"/>
  <c r="G64" i="10"/>
  <c r="F64" i="10"/>
  <c r="E64" i="10"/>
  <c r="P64" i="10"/>
  <c r="K64" i="10"/>
  <c r="J64" i="10"/>
  <c r="I64" i="10"/>
  <c r="O64" i="10"/>
  <c r="N64" i="10"/>
  <c r="L64" i="10"/>
  <c r="M64" i="10"/>
  <c r="H52" i="10"/>
  <c r="G52" i="10"/>
  <c r="F52" i="10"/>
  <c r="E52" i="10"/>
  <c r="P52" i="10"/>
  <c r="K52" i="10"/>
  <c r="J52" i="10"/>
  <c r="L52" i="10"/>
  <c r="I52" i="10"/>
  <c r="O52" i="10"/>
  <c r="N52" i="10"/>
  <c r="M52" i="10"/>
  <c r="H70" i="10"/>
  <c r="G70" i="10"/>
  <c r="F70" i="10"/>
  <c r="E70" i="10"/>
  <c r="P70" i="10"/>
  <c r="K70" i="10"/>
  <c r="J70" i="10"/>
  <c r="I70" i="10"/>
  <c r="O70" i="10"/>
  <c r="N70" i="10"/>
  <c r="M70" i="10"/>
  <c r="L70" i="10"/>
  <c r="P48" i="10"/>
  <c r="O48" i="10"/>
  <c r="N48" i="10"/>
  <c r="M48" i="10"/>
  <c r="L48" i="10"/>
  <c r="G48" i="10"/>
  <c r="F48" i="10"/>
  <c r="I48" i="10"/>
  <c r="H48" i="10"/>
  <c r="E48" i="10"/>
  <c r="K48" i="10"/>
  <c r="J48" i="10"/>
  <c r="N73" i="10"/>
  <c r="M73" i="10"/>
  <c r="L73" i="10"/>
  <c r="K73" i="10"/>
  <c r="J73" i="10"/>
  <c r="E73" i="10"/>
  <c r="P73" i="10"/>
  <c r="O73" i="10"/>
  <c r="I73" i="10"/>
  <c r="H73" i="10"/>
  <c r="G73" i="10"/>
  <c r="F73" i="10"/>
  <c r="F71" i="10"/>
  <c r="E71" i="10"/>
  <c r="P71" i="10"/>
  <c r="O71" i="10"/>
  <c r="N71" i="10"/>
  <c r="I71" i="10"/>
  <c r="H71" i="10"/>
  <c r="G71" i="10"/>
  <c r="J71" i="10"/>
  <c r="M71" i="10"/>
  <c r="L71" i="10"/>
  <c r="K71" i="10"/>
  <c r="P60" i="10"/>
  <c r="O60" i="10"/>
  <c r="N60" i="10"/>
  <c r="M60" i="10"/>
  <c r="L60" i="10"/>
  <c r="G60" i="10"/>
  <c r="F60" i="10"/>
  <c r="E60" i="10"/>
  <c r="H60" i="10"/>
  <c r="K60" i="10"/>
  <c r="J60" i="10"/>
  <c r="I60" i="10"/>
  <c r="H58" i="10"/>
  <c r="G58" i="10"/>
  <c r="F58" i="10"/>
  <c r="E58" i="10"/>
  <c r="P58" i="10"/>
  <c r="K58" i="10"/>
  <c r="J58" i="10"/>
  <c r="M58" i="10"/>
  <c r="L58" i="10"/>
  <c r="I58" i="10"/>
  <c r="O58" i="10"/>
  <c r="N58" i="10"/>
  <c r="F59" i="10"/>
  <c r="E59" i="10"/>
  <c r="P59" i="10"/>
  <c r="O59" i="10"/>
  <c r="N59" i="10"/>
  <c r="I59" i="10"/>
  <c r="H59" i="10"/>
  <c r="G59" i="10"/>
  <c r="J59" i="10"/>
  <c r="L59" i="10"/>
  <c r="K59" i="10"/>
  <c r="M59" i="10"/>
  <c r="H76" i="10"/>
  <c r="G76" i="10"/>
  <c r="F76" i="10"/>
  <c r="E76" i="10"/>
  <c r="P76" i="10"/>
  <c r="K76" i="10"/>
  <c r="J76" i="10"/>
  <c r="I76" i="10"/>
  <c r="N76" i="10"/>
  <c r="M76" i="10"/>
  <c r="O76" i="10"/>
  <c r="L76" i="10"/>
  <c r="F77" i="10"/>
  <c r="E77" i="10"/>
  <c r="P77" i="10"/>
  <c r="O77" i="10"/>
  <c r="N77" i="10"/>
  <c r="I77" i="10"/>
  <c r="H77" i="10"/>
  <c r="G77" i="10"/>
  <c r="M77" i="10"/>
  <c r="J77" i="10"/>
  <c r="L77" i="10"/>
  <c r="K77" i="10"/>
  <c r="F53" i="10"/>
  <c r="E53" i="10"/>
  <c r="P53" i="10"/>
  <c r="O53" i="10"/>
  <c r="N53" i="10"/>
  <c r="I53" i="10"/>
  <c r="H53" i="10"/>
  <c r="K53" i="10"/>
  <c r="J53" i="10"/>
  <c r="M53" i="10"/>
  <c r="L53" i="10"/>
  <c r="G53" i="10"/>
  <c r="F65" i="10"/>
  <c r="E65" i="10"/>
  <c r="P65" i="10"/>
  <c r="O65" i="10"/>
  <c r="N65" i="10"/>
  <c r="I65" i="10"/>
  <c r="H65" i="10"/>
  <c r="G65" i="10"/>
  <c r="M65" i="10"/>
  <c r="L65" i="10"/>
  <c r="K65" i="10"/>
  <c r="J65" i="10"/>
  <c r="F47" i="10"/>
  <c r="E47" i="10"/>
  <c r="P47" i="10"/>
  <c r="O47" i="10"/>
  <c r="N47" i="10"/>
  <c r="I47" i="10"/>
  <c r="H47" i="10"/>
  <c r="L47" i="10"/>
  <c r="K47" i="10"/>
  <c r="J47" i="10"/>
  <c r="M47" i="10"/>
  <c r="G47" i="10"/>
  <c r="N61" i="10"/>
  <c r="M61" i="10"/>
  <c r="L61" i="10"/>
  <c r="K61" i="10"/>
  <c r="J61" i="10"/>
  <c r="E61" i="10"/>
  <c r="P61" i="10"/>
  <c r="O61" i="10"/>
  <c r="G61" i="10"/>
  <c r="F61" i="10"/>
  <c r="I61" i="10"/>
  <c r="H61" i="10"/>
  <c r="N55" i="10"/>
  <c r="M55" i="10"/>
  <c r="L55" i="10"/>
  <c r="K55" i="10"/>
  <c r="J55" i="10"/>
  <c r="E55" i="10"/>
  <c r="P55" i="10"/>
  <c r="O55" i="10"/>
  <c r="I55" i="10"/>
  <c r="H55" i="10"/>
  <c r="F55" i="10"/>
  <c r="G55" i="10"/>
  <c r="P54" i="10"/>
  <c r="O54" i="10"/>
  <c r="N54" i="10"/>
  <c r="M54" i="10"/>
  <c r="L54" i="10"/>
  <c r="G54" i="10"/>
  <c r="F54" i="10"/>
  <c r="J54" i="10"/>
  <c r="I54" i="10"/>
  <c r="H54" i="10"/>
  <c r="E54" i="10"/>
  <c r="K54" i="10"/>
  <c r="B76" i="9" l="1"/>
  <c r="B75" i="9"/>
  <c r="P74" i="9"/>
  <c r="D74" i="9"/>
  <c r="F74" i="9" s="1"/>
  <c r="O73" i="9"/>
  <c r="I73" i="9"/>
  <c r="H73" i="9"/>
  <c r="G73" i="9"/>
  <c r="F73" i="9"/>
  <c r="D73" i="9"/>
  <c r="N73" i="9" s="1"/>
  <c r="B73" i="9"/>
  <c r="B70" i="9"/>
  <c r="B69" i="9"/>
  <c r="P68" i="9"/>
  <c r="D68" i="9"/>
  <c r="E68" i="9" s="1"/>
  <c r="O67" i="9"/>
  <c r="I67" i="9"/>
  <c r="H67" i="9"/>
  <c r="G67" i="9"/>
  <c r="F67" i="9"/>
  <c r="D67" i="9"/>
  <c r="N67" i="9" s="1"/>
  <c r="B67" i="9"/>
  <c r="E66" i="9"/>
  <c r="B64" i="9"/>
  <c r="B63" i="9"/>
  <c r="P62" i="9"/>
  <c r="D62" i="9"/>
  <c r="F62" i="9" s="1"/>
  <c r="P61" i="9"/>
  <c r="O61" i="9"/>
  <c r="I61" i="9"/>
  <c r="H61" i="9"/>
  <c r="G61" i="9"/>
  <c r="F61" i="9"/>
  <c r="D61" i="9"/>
  <c r="B61" i="9"/>
  <c r="B58" i="9"/>
  <c r="D56" i="9"/>
  <c r="D55" i="9"/>
  <c r="H55" i="9" s="1"/>
  <c r="B55" i="9"/>
  <c r="B52" i="9"/>
  <c r="P50" i="9"/>
  <c r="D50" i="9"/>
  <c r="M50" i="9" s="1"/>
  <c r="P49" i="9"/>
  <c r="O49" i="9"/>
  <c r="I49" i="9"/>
  <c r="H49" i="9"/>
  <c r="G49" i="9"/>
  <c r="F49" i="9"/>
  <c r="D49" i="9"/>
  <c r="B49" i="9"/>
  <c r="O40" i="9"/>
  <c r="N40" i="9"/>
  <c r="M40" i="9"/>
  <c r="L40" i="9"/>
  <c r="J40" i="9"/>
  <c r="I40" i="9"/>
  <c r="D40" i="9"/>
  <c r="D78" i="9" s="1"/>
  <c r="I78" i="9" s="1"/>
  <c r="B40" i="9"/>
  <c r="B78" i="9" s="1"/>
  <c r="P39" i="9"/>
  <c r="O39" i="9"/>
  <c r="D39" i="9"/>
  <c r="K39" i="9" s="1"/>
  <c r="B39" i="9"/>
  <c r="B77" i="9" s="1"/>
  <c r="P38" i="9"/>
  <c r="N38" i="9"/>
  <c r="M38" i="9"/>
  <c r="G38" i="9"/>
  <c r="F38" i="9"/>
  <c r="E38" i="9"/>
  <c r="D38" i="9"/>
  <c r="B38" i="9"/>
  <c r="D37" i="9"/>
  <c r="O37" i="9" s="1"/>
  <c r="B37" i="9"/>
  <c r="L36" i="9"/>
  <c r="K36" i="9"/>
  <c r="J36" i="9"/>
  <c r="I36" i="9"/>
  <c r="H36" i="9"/>
  <c r="F36" i="9"/>
  <c r="E36" i="9"/>
  <c r="D36" i="9"/>
  <c r="P36" i="9" s="1"/>
  <c r="B36" i="9"/>
  <c r="B74" i="9" s="1"/>
  <c r="N35" i="9"/>
  <c r="M35" i="9"/>
  <c r="L35" i="9"/>
  <c r="K35" i="9"/>
  <c r="J35" i="9"/>
  <c r="H35" i="9"/>
  <c r="G35" i="9"/>
  <c r="F35" i="9"/>
  <c r="D35" i="9"/>
  <c r="E35" i="9" s="1"/>
  <c r="B35" i="9"/>
  <c r="O34" i="9"/>
  <c r="N34" i="9"/>
  <c r="M34" i="9"/>
  <c r="L34" i="9"/>
  <c r="J34" i="9"/>
  <c r="I34" i="9"/>
  <c r="D34" i="9"/>
  <c r="D72" i="9" s="1"/>
  <c r="B34" i="9"/>
  <c r="B72" i="9" s="1"/>
  <c r="D33" i="9"/>
  <c r="B33" i="9"/>
  <c r="B71" i="9" s="1"/>
  <c r="P32" i="9"/>
  <c r="N32" i="9"/>
  <c r="M32" i="9"/>
  <c r="D32" i="9"/>
  <c r="B32" i="9"/>
  <c r="D31" i="9"/>
  <c r="D69" i="9" s="1"/>
  <c r="B31" i="9"/>
  <c r="L30" i="9"/>
  <c r="K30" i="9"/>
  <c r="J30" i="9"/>
  <c r="I30" i="9"/>
  <c r="H30" i="9"/>
  <c r="F30" i="9"/>
  <c r="E30" i="9"/>
  <c r="D30" i="9"/>
  <c r="P30" i="9" s="1"/>
  <c r="B30" i="9"/>
  <c r="B68" i="9" s="1"/>
  <c r="N29" i="9"/>
  <c r="M29" i="9"/>
  <c r="L29" i="9"/>
  <c r="K29" i="9"/>
  <c r="J29" i="9"/>
  <c r="H29" i="9"/>
  <c r="G29" i="9"/>
  <c r="F29" i="9"/>
  <c r="E29" i="9"/>
  <c r="D29" i="9"/>
  <c r="P29" i="9" s="1"/>
  <c r="B29" i="9"/>
  <c r="O28" i="9"/>
  <c r="N28" i="9"/>
  <c r="M28" i="9"/>
  <c r="L28" i="9"/>
  <c r="J28" i="9"/>
  <c r="I28" i="9"/>
  <c r="D28" i="9"/>
  <c r="D66" i="9" s="1"/>
  <c r="B28" i="9"/>
  <c r="B66" i="9" s="1"/>
  <c r="D27" i="9"/>
  <c r="K27" i="9" s="1"/>
  <c r="B27" i="9"/>
  <c r="B65" i="9" s="1"/>
  <c r="D26" i="9"/>
  <c r="M26" i="9" s="1"/>
  <c r="B26" i="9"/>
  <c r="P25" i="9"/>
  <c r="O25" i="9"/>
  <c r="I25" i="9"/>
  <c r="D25" i="9"/>
  <c r="D63" i="9" s="1"/>
  <c r="B25" i="9"/>
  <c r="L24" i="9"/>
  <c r="K24" i="9"/>
  <c r="J24" i="9"/>
  <c r="I24" i="9"/>
  <c r="H24" i="9"/>
  <c r="F24" i="9"/>
  <c r="E24" i="9"/>
  <c r="D24" i="9"/>
  <c r="P24" i="9" s="1"/>
  <c r="B24" i="9"/>
  <c r="B62" i="9" s="1"/>
  <c r="N23" i="9"/>
  <c r="M23" i="9"/>
  <c r="L23" i="9"/>
  <c r="K23" i="9"/>
  <c r="J23" i="9"/>
  <c r="H23" i="9"/>
  <c r="G23" i="9"/>
  <c r="F23" i="9"/>
  <c r="E23" i="9"/>
  <c r="D23" i="9"/>
  <c r="P23" i="9" s="1"/>
  <c r="B23" i="9"/>
  <c r="M22" i="9"/>
  <c r="L22" i="9"/>
  <c r="J22" i="9"/>
  <c r="I22" i="9"/>
  <c r="H22" i="9"/>
  <c r="D22" i="9"/>
  <c r="B22" i="9"/>
  <c r="B60" i="9" s="1"/>
  <c r="P21" i="9"/>
  <c r="D21" i="9"/>
  <c r="N21" i="9" s="1"/>
  <c r="B21" i="9"/>
  <c r="B59" i="9" s="1"/>
  <c r="N20" i="9"/>
  <c r="M20" i="9"/>
  <c r="D20" i="9"/>
  <c r="F20" i="9" s="1"/>
  <c r="B20" i="9"/>
  <c r="P19" i="9"/>
  <c r="O19" i="9"/>
  <c r="N19" i="9"/>
  <c r="J19" i="9"/>
  <c r="I19" i="9"/>
  <c r="D19" i="9"/>
  <c r="B19" i="9"/>
  <c r="B57" i="9" s="1"/>
  <c r="P18" i="9"/>
  <c r="L18" i="9"/>
  <c r="K18" i="9"/>
  <c r="J18" i="9"/>
  <c r="I18" i="9"/>
  <c r="H18" i="9"/>
  <c r="F18" i="9"/>
  <c r="E18" i="9"/>
  <c r="D18" i="9"/>
  <c r="B18" i="9"/>
  <c r="B56" i="9" s="1"/>
  <c r="N17" i="9"/>
  <c r="M17" i="9"/>
  <c r="L17" i="9"/>
  <c r="K17" i="9"/>
  <c r="J17" i="9"/>
  <c r="H17" i="9"/>
  <c r="G17" i="9"/>
  <c r="F17" i="9"/>
  <c r="E17" i="9"/>
  <c r="D17" i="9"/>
  <c r="P17" i="9" s="1"/>
  <c r="B17" i="9"/>
  <c r="J16" i="9"/>
  <c r="I16" i="9"/>
  <c r="D16" i="9"/>
  <c r="B16" i="9"/>
  <c r="B54" i="9" s="1"/>
  <c r="D15" i="9"/>
  <c r="O15" i="9" s="1"/>
  <c r="B15" i="9"/>
  <c r="B53" i="9" s="1"/>
  <c r="P14" i="9"/>
  <c r="N14" i="9"/>
  <c r="D14" i="9"/>
  <c r="L14" i="9" s="1"/>
  <c r="B14" i="9"/>
  <c r="P13" i="9"/>
  <c r="N13" i="9"/>
  <c r="J13" i="9"/>
  <c r="D13" i="9"/>
  <c r="D51" i="9" s="1"/>
  <c r="B13" i="9"/>
  <c r="B51" i="9" s="1"/>
  <c r="P12" i="9"/>
  <c r="L12" i="9"/>
  <c r="K12" i="9"/>
  <c r="J12" i="9"/>
  <c r="I12" i="9"/>
  <c r="H12" i="9"/>
  <c r="F12" i="9"/>
  <c r="D12" i="9"/>
  <c r="B12" i="9"/>
  <c r="B50" i="9" s="1"/>
  <c r="N11" i="9"/>
  <c r="M11" i="9"/>
  <c r="L11" i="9"/>
  <c r="K11" i="9"/>
  <c r="J11" i="9"/>
  <c r="H11" i="9"/>
  <c r="G11" i="9"/>
  <c r="F11" i="9"/>
  <c r="E11" i="9"/>
  <c r="D11" i="9"/>
  <c r="P11" i="9" s="1"/>
  <c r="B11" i="9"/>
  <c r="P10" i="9"/>
  <c r="O10" i="9"/>
  <c r="N10" i="9"/>
  <c r="M10" i="9"/>
  <c r="L10" i="9"/>
  <c r="J10" i="9"/>
  <c r="I10" i="9"/>
  <c r="H10" i="9"/>
  <c r="G10" i="9"/>
  <c r="D10" i="9"/>
  <c r="B10" i="9"/>
  <c r="B48" i="9" s="1"/>
  <c r="D9" i="9"/>
  <c r="P9" i="9" s="1"/>
  <c r="B9" i="9"/>
  <c r="B47" i="9" s="1"/>
  <c r="B2" i="9"/>
  <c r="J51" i="9" l="1"/>
  <c r="I51" i="9"/>
  <c r="H51" i="9"/>
  <c r="G51" i="9"/>
  <c r="F51" i="9"/>
  <c r="M51" i="9"/>
  <c r="N51" i="9"/>
  <c r="K51" i="9"/>
  <c r="E51" i="9"/>
  <c r="O51" i="9"/>
  <c r="L51" i="9"/>
  <c r="P51" i="9"/>
  <c r="J63" i="9"/>
  <c r="I63" i="9"/>
  <c r="H63" i="9"/>
  <c r="G63" i="9"/>
  <c r="F63" i="9"/>
  <c r="M63" i="9"/>
  <c r="L63" i="9"/>
  <c r="O63" i="9"/>
  <c r="E63" i="9"/>
  <c r="P63" i="9"/>
  <c r="N63" i="9"/>
  <c r="K63" i="9"/>
  <c r="J69" i="9"/>
  <c r="I69" i="9"/>
  <c r="H69" i="9"/>
  <c r="G69" i="9"/>
  <c r="F69" i="9"/>
  <c r="M69" i="9"/>
  <c r="L69" i="9"/>
  <c r="N69" i="9"/>
  <c r="P69" i="9"/>
  <c r="O69" i="9"/>
  <c r="K69" i="9"/>
  <c r="E69" i="9"/>
  <c r="L56" i="9"/>
  <c r="K56" i="9"/>
  <c r="J56" i="9"/>
  <c r="I56" i="9"/>
  <c r="H56" i="9"/>
  <c r="O56" i="9"/>
  <c r="E9" i="9"/>
  <c r="D54" i="9"/>
  <c r="G16" i="9"/>
  <c r="F16" i="9"/>
  <c r="E16" i="9"/>
  <c r="K16" i="9"/>
  <c r="E27" i="9"/>
  <c r="F31" i="9"/>
  <c r="E56" i="9"/>
  <c r="F9" i="9"/>
  <c r="O13" i="9"/>
  <c r="H16" i="9"/>
  <c r="P20" i="9"/>
  <c r="D60" i="9"/>
  <c r="G22" i="9"/>
  <c r="F22" i="9"/>
  <c r="E22" i="9"/>
  <c r="K22" i="9"/>
  <c r="G31" i="9"/>
  <c r="F56" i="9"/>
  <c r="D75" i="9"/>
  <c r="N31" i="9"/>
  <c r="M31" i="9"/>
  <c r="L31" i="9"/>
  <c r="K31" i="9"/>
  <c r="J31" i="9"/>
  <c r="E31" i="9"/>
  <c r="P72" i="9"/>
  <c r="O72" i="9"/>
  <c r="N72" i="9"/>
  <c r="M72" i="9"/>
  <c r="L72" i="9"/>
  <c r="G72" i="9"/>
  <c r="F72" i="9"/>
  <c r="I31" i="9"/>
  <c r="J33" i="9"/>
  <c r="I33" i="9"/>
  <c r="D71" i="9"/>
  <c r="H33" i="9"/>
  <c r="G33" i="9"/>
  <c r="F33" i="9"/>
  <c r="M33" i="9"/>
  <c r="F37" i="9"/>
  <c r="K9" i="9"/>
  <c r="O31" i="9"/>
  <c r="E33" i="9"/>
  <c r="E14" i="9"/>
  <c r="M16" i="9"/>
  <c r="K33" i="9"/>
  <c r="M13" i="9"/>
  <c r="L13" i="9"/>
  <c r="K13" i="9"/>
  <c r="E13" i="9"/>
  <c r="F14" i="9"/>
  <c r="K15" i="9"/>
  <c r="N16" i="9"/>
  <c r="J21" i="9"/>
  <c r="L33" i="9"/>
  <c r="I37" i="9"/>
  <c r="E50" i="9"/>
  <c r="G55" i="9"/>
  <c r="E62" i="9"/>
  <c r="O9" i="9"/>
  <c r="F13" i="9"/>
  <c r="G14" i="9"/>
  <c r="L15" i="9"/>
  <c r="O16" i="9"/>
  <c r="M19" i="9"/>
  <c r="L19" i="9"/>
  <c r="K19" i="9"/>
  <c r="E19" i="9"/>
  <c r="K21" i="9"/>
  <c r="N22" i="9"/>
  <c r="N25" i="9"/>
  <c r="M25" i="9"/>
  <c r="L25" i="9"/>
  <c r="K25" i="9"/>
  <c r="J25" i="9"/>
  <c r="E25" i="9"/>
  <c r="P66" i="9"/>
  <c r="O66" i="9"/>
  <c r="N66" i="9"/>
  <c r="M66" i="9"/>
  <c r="L66" i="9"/>
  <c r="G66" i="9"/>
  <c r="F66" i="9"/>
  <c r="L32" i="9"/>
  <c r="K32" i="9"/>
  <c r="J32" i="9"/>
  <c r="I32" i="9"/>
  <c r="H32" i="9"/>
  <c r="D70" i="9"/>
  <c r="O32" i="9"/>
  <c r="N33" i="9"/>
  <c r="E39" i="9"/>
  <c r="F50" i="9"/>
  <c r="D57" i="9"/>
  <c r="H66" i="9"/>
  <c r="H72" i="9"/>
  <c r="E74" i="9"/>
  <c r="H78" i="9"/>
  <c r="H31" i="9"/>
  <c r="N37" i="9"/>
  <c r="M37" i="9"/>
  <c r="L37" i="9"/>
  <c r="K37" i="9"/>
  <c r="J37" i="9"/>
  <c r="E37" i="9"/>
  <c r="E15" i="9"/>
  <c r="L26" i="9"/>
  <c r="K26" i="9"/>
  <c r="J26" i="9"/>
  <c r="I26" i="9"/>
  <c r="D64" i="9"/>
  <c r="H26" i="9"/>
  <c r="O26" i="9"/>
  <c r="E21" i="9"/>
  <c r="G37" i="9"/>
  <c r="N55" i="9"/>
  <c r="M55" i="9"/>
  <c r="L55" i="9"/>
  <c r="K55" i="9"/>
  <c r="J55" i="9"/>
  <c r="E55" i="9"/>
  <c r="N56" i="9"/>
  <c r="K20" i="9"/>
  <c r="J20" i="9"/>
  <c r="I20" i="9"/>
  <c r="D58" i="9"/>
  <c r="O20" i="9"/>
  <c r="F21" i="9"/>
  <c r="L62" i="9"/>
  <c r="K62" i="9"/>
  <c r="J62" i="9"/>
  <c r="I62" i="9"/>
  <c r="H62" i="9"/>
  <c r="O62" i="9"/>
  <c r="E20" i="9"/>
  <c r="L68" i="9"/>
  <c r="K68" i="9"/>
  <c r="J68" i="9"/>
  <c r="I68" i="9"/>
  <c r="H68" i="9"/>
  <c r="O68" i="9"/>
  <c r="N68" i="9"/>
  <c r="E78" i="9"/>
  <c r="O12" i="9"/>
  <c r="N12" i="9"/>
  <c r="M12" i="9"/>
  <c r="G12" i="9"/>
  <c r="G13" i="9"/>
  <c r="H14" i="9"/>
  <c r="N15" i="9"/>
  <c r="P16" i="9"/>
  <c r="F19" i="9"/>
  <c r="G20" i="9"/>
  <c r="L21" i="9"/>
  <c r="O22" i="9"/>
  <c r="F25" i="9"/>
  <c r="N26" i="9"/>
  <c r="E32" i="9"/>
  <c r="O33" i="9"/>
  <c r="P37" i="9"/>
  <c r="G50" i="9"/>
  <c r="I55" i="9"/>
  <c r="G62" i="9"/>
  <c r="I66" i="9"/>
  <c r="F68" i="9"/>
  <c r="I72" i="9"/>
  <c r="D47" i="9"/>
  <c r="H9" i="9"/>
  <c r="G9" i="9"/>
  <c r="M9" i="9"/>
  <c r="J27" i="9"/>
  <c r="I27" i="9"/>
  <c r="D65" i="9"/>
  <c r="H27" i="9"/>
  <c r="G27" i="9"/>
  <c r="F27" i="9"/>
  <c r="M27" i="9"/>
  <c r="I9" i="9"/>
  <c r="P78" i="9"/>
  <c r="O78" i="9"/>
  <c r="N78" i="9"/>
  <c r="M78" i="9"/>
  <c r="L78" i="9"/>
  <c r="G78" i="9"/>
  <c r="F78" i="9"/>
  <c r="J9" i="9"/>
  <c r="N27" i="9"/>
  <c r="O27" i="9"/>
  <c r="P27" i="9"/>
  <c r="P31" i="9"/>
  <c r="H37" i="9"/>
  <c r="N9" i="9"/>
  <c r="J39" i="9"/>
  <c r="I39" i="9"/>
  <c r="D77" i="9"/>
  <c r="H39" i="9"/>
  <c r="G39" i="9"/>
  <c r="F39" i="9"/>
  <c r="M39" i="9"/>
  <c r="L74" i="9"/>
  <c r="K74" i="9"/>
  <c r="J74" i="9"/>
  <c r="I74" i="9"/>
  <c r="H74" i="9"/>
  <c r="O74" i="9"/>
  <c r="N74" i="9"/>
  <c r="E12" i="9"/>
  <c r="H13" i="9"/>
  <c r="O18" i="9"/>
  <c r="N18" i="9"/>
  <c r="M18" i="9"/>
  <c r="G18" i="9"/>
  <c r="G19" i="9"/>
  <c r="H20" i="9"/>
  <c r="P22" i="9"/>
  <c r="G25" i="9"/>
  <c r="P26" i="9"/>
  <c r="F32" i="9"/>
  <c r="P33" i="9"/>
  <c r="L39" i="9"/>
  <c r="O55" i="9"/>
  <c r="M62" i="9"/>
  <c r="J66" i="9"/>
  <c r="G68" i="9"/>
  <c r="J72" i="9"/>
  <c r="G74" i="9"/>
  <c r="J78" i="9"/>
  <c r="I15" i="9"/>
  <c r="D53" i="9"/>
  <c r="H15" i="9"/>
  <c r="G15" i="9"/>
  <c r="M15" i="9"/>
  <c r="L27" i="9"/>
  <c r="G56" i="9"/>
  <c r="I21" i="9"/>
  <c r="D59" i="9"/>
  <c r="H21" i="9"/>
  <c r="G21" i="9"/>
  <c r="M21" i="9"/>
  <c r="M56" i="9"/>
  <c r="K14" i="9"/>
  <c r="J14" i="9"/>
  <c r="I14" i="9"/>
  <c r="D52" i="9"/>
  <c r="O14" i="9"/>
  <c r="F15" i="9"/>
  <c r="L16" i="9"/>
  <c r="E26" i="9"/>
  <c r="L9" i="9"/>
  <c r="J15" i="9"/>
  <c r="F26" i="9"/>
  <c r="L50" i="9"/>
  <c r="K50" i="9"/>
  <c r="J50" i="9"/>
  <c r="I50" i="9"/>
  <c r="H50" i="9"/>
  <c r="O50" i="9"/>
  <c r="F55" i="9"/>
  <c r="P56" i="9"/>
  <c r="G26" i="9"/>
  <c r="E72" i="9"/>
  <c r="D48" i="9"/>
  <c r="F10" i="9"/>
  <c r="E10" i="9"/>
  <c r="K10" i="9"/>
  <c r="I13" i="9"/>
  <c r="M14" i="9"/>
  <c r="P15" i="9"/>
  <c r="H19" i="9"/>
  <c r="L20" i="9"/>
  <c r="O21" i="9"/>
  <c r="H25" i="9"/>
  <c r="G32" i="9"/>
  <c r="L38" i="9"/>
  <c r="K38" i="9"/>
  <c r="J38" i="9"/>
  <c r="I38" i="9"/>
  <c r="D76" i="9"/>
  <c r="H38" i="9"/>
  <c r="O38" i="9"/>
  <c r="N39" i="9"/>
  <c r="N49" i="9"/>
  <c r="M49" i="9"/>
  <c r="L49" i="9"/>
  <c r="K49" i="9"/>
  <c r="J49" i="9"/>
  <c r="E49" i="9"/>
  <c r="N50" i="9"/>
  <c r="P55" i="9"/>
  <c r="N61" i="9"/>
  <c r="M61" i="9"/>
  <c r="L61" i="9"/>
  <c r="K61" i="9"/>
  <c r="J61" i="9"/>
  <c r="E61" i="9"/>
  <c r="N62" i="9"/>
  <c r="K66" i="9"/>
  <c r="M68" i="9"/>
  <c r="K72" i="9"/>
  <c r="M74" i="9"/>
  <c r="K78" i="9"/>
  <c r="P67" i="9"/>
  <c r="P73" i="9"/>
  <c r="I11" i="9"/>
  <c r="I17" i="9"/>
  <c r="I23" i="9"/>
  <c r="G24" i="9"/>
  <c r="K28" i="9"/>
  <c r="I29" i="9"/>
  <c r="G30" i="9"/>
  <c r="K34" i="9"/>
  <c r="I35" i="9"/>
  <c r="G36" i="9"/>
  <c r="K40" i="9"/>
  <c r="E67" i="9"/>
  <c r="E73" i="9"/>
  <c r="P28" i="9"/>
  <c r="P40" i="9"/>
  <c r="J67" i="9"/>
  <c r="J73" i="9"/>
  <c r="P34" i="9"/>
  <c r="O11" i="9"/>
  <c r="O17" i="9"/>
  <c r="O23" i="9"/>
  <c r="M24" i="9"/>
  <c r="E28" i="9"/>
  <c r="O29" i="9"/>
  <c r="M30" i="9"/>
  <c r="E34" i="9"/>
  <c r="O35" i="9"/>
  <c r="M36" i="9"/>
  <c r="E40" i="9"/>
  <c r="K67" i="9"/>
  <c r="K73" i="9"/>
  <c r="N24" i="9"/>
  <c r="F28" i="9"/>
  <c r="N30" i="9"/>
  <c r="F34" i="9"/>
  <c r="P35" i="9"/>
  <c r="N36" i="9"/>
  <c r="F40" i="9"/>
  <c r="L67" i="9"/>
  <c r="L73" i="9"/>
  <c r="O24" i="9"/>
  <c r="G28" i="9"/>
  <c r="O30" i="9"/>
  <c r="G34" i="9"/>
  <c r="O36" i="9"/>
  <c r="G40" i="9"/>
  <c r="M67" i="9"/>
  <c r="M73" i="9"/>
  <c r="H28" i="9"/>
  <c r="H34" i="9"/>
  <c r="H40" i="9"/>
  <c r="F77" i="9" l="1"/>
  <c r="E77" i="9"/>
  <c r="P77" i="9"/>
  <c r="O77" i="9"/>
  <c r="N77" i="9"/>
  <c r="I77" i="9"/>
  <c r="H77" i="9"/>
  <c r="K77" i="9"/>
  <c r="J77" i="9"/>
  <c r="M77" i="9"/>
  <c r="L77" i="9"/>
  <c r="G77" i="9"/>
  <c r="H64" i="9"/>
  <c r="G64" i="9"/>
  <c r="F64" i="9"/>
  <c r="E64" i="9"/>
  <c r="P64" i="9"/>
  <c r="K64" i="9"/>
  <c r="J64" i="9"/>
  <c r="M64" i="9"/>
  <c r="L64" i="9"/>
  <c r="I64" i="9"/>
  <c r="O64" i="9"/>
  <c r="N64" i="9"/>
  <c r="H76" i="9"/>
  <c r="G76" i="9"/>
  <c r="F76" i="9"/>
  <c r="E76" i="9"/>
  <c r="P76" i="9"/>
  <c r="K76" i="9"/>
  <c r="J76" i="9"/>
  <c r="M76" i="9"/>
  <c r="L76" i="9"/>
  <c r="I76" i="9"/>
  <c r="O76" i="9"/>
  <c r="N76" i="9"/>
  <c r="F53" i="9"/>
  <c r="E53" i="9"/>
  <c r="P53" i="9"/>
  <c r="O53" i="9"/>
  <c r="N53" i="9"/>
  <c r="I53" i="9"/>
  <c r="J53" i="9"/>
  <c r="G53" i="9"/>
  <c r="M53" i="9"/>
  <c r="K53" i="9"/>
  <c r="H53" i="9"/>
  <c r="L53" i="9"/>
  <c r="P54" i="9"/>
  <c r="O54" i="9"/>
  <c r="N54" i="9"/>
  <c r="M54" i="9"/>
  <c r="L54" i="9"/>
  <c r="G54" i="9"/>
  <c r="F54" i="9"/>
  <c r="K54" i="9"/>
  <c r="E54" i="9"/>
  <c r="J54" i="9"/>
  <c r="I54" i="9"/>
  <c r="H54" i="9"/>
  <c r="P48" i="9"/>
  <c r="O48" i="9"/>
  <c r="N48" i="9"/>
  <c r="M48" i="9"/>
  <c r="L48" i="9"/>
  <c r="G48" i="9"/>
  <c r="F48" i="9"/>
  <c r="K48" i="9"/>
  <c r="I48" i="9"/>
  <c r="H48" i="9"/>
  <c r="E48" i="9"/>
  <c r="J48" i="9"/>
  <c r="H58" i="9"/>
  <c r="G58" i="9"/>
  <c r="F58" i="9"/>
  <c r="E58" i="9"/>
  <c r="P58" i="9"/>
  <c r="K58" i="9"/>
  <c r="L58" i="9"/>
  <c r="I58" i="9"/>
  <c r="M58" i="9"/>
  <c r="O58" i="9"/>
  <c r="J58" i="9"/>
  <c r="N58" i="9"/>
  <c r="J75" i="9"/>
  <c r="I75" i="9"/>
  <c r="H75" i="9"/>
  <c r="G75" i="9"/>
  <c r="F75" i="9"/>
  <c r="M75" i="9"/>
  <c r="L75" i="9"/>
  <c r="N75" i="9"/>
  <c r="O75" i="9"/>
  <c r="E75" i="9"/>
  <c r="P75" i="9"/>
  <c r="K75" i="9"/>
  <c r="F71" i="9"/>
  <c r="E71" i="9"/>
  <c r="P71" i="9"/>
  <c r="O71" i="9"/>
  <c r="N71" i="9"/>
  <c r="I71" i="9"/>
  <c r="H71" i="9"/>
  <c r="M71" i="9"/>
  <c r="L71" i="9"/>
  <c r="K71" i="9"/>
  <c r="J71" i="9"/>
  <c r="G71" i="9"/>
  <c r="J57" i="9"/>
  <c r="I57" i="9"/>
  <c r="H57" i="9"/>
  <c r="G57" i="9"/>
  <c r="F57" i="9"/>
  <c r="M57" i="9"/>
  <c r="L57" i="9"/>
  <c r="K57" i="9"/>
  <c r="E57" i="9"/>
  <c r="P57" i="9"/>
  <c r="O57" i="9"/>
  <c r="N57" i="9"/>
  <c r="F59" i="9"/>
  <c r="E59" i="9"/>
  <c r="P59" i="9"/>
  <c r="O59" i="9"/>
  <c r="N59" i="9"/>
  <c r="I59" i="9"/>
  <c r="H59" i="9"/>
  <c r="M59" i="9"/>
  <c r="G59" i="9"/>
  <c r="L59" i="9"/>
  <c r="K59" i="9"/>
  <c r="J59" i="9"/>
  <c r="F65" i="9"/>
  <c r="E65" i="9"/>
  <c r="P65" i="9"/>
  <c r="O65" i="9"/>
  <c r="N65" i="9"/>
  <c r="I65" i="9"/>
  <c r="H65" i="9"/>
  <c r="K65" i="9"/>
  <c r="L65" i="9"/>
  <c r="M65" i="9"/>
  <c r="J65" i="9"/>
  <c r="G65" i="9"/>
  <c r="H70" i="9"/>
  <c r="G70" i="9"/>
  <c r="F70" i="9"/>
  <c r="E70" i="9"/>
  <c r="P70" i="9"/>
  <c r="K70" i="9"/>
  <c r="J70" i="9"/>
  <c r="M70" i="9"/>
  <c r="L70" i="9"/>
  <c r="I70" i="9"/>
  <c r="O70" i="9"/>
  <c r="N70" i="9"/>
  <c r="F47" i="9"/>
  <c r="E47" i="9"/>
  <c r="P47" i="9"/>
  <c r="O47" i="9"/>
  <c r="N47" i="9"/>
  <c r="I47" i="9"/>
  <c r="H47" i="9"/>
  <c r="M47" i="9"/>
  <c r="G47" i="9"/>
  <c r="L47" i="9"/>
  <c r="K47" i="9"/>
  <c r="J47" i="9"/>
  <c r="P60" i="9"/>
  <c r="O60" i="9"/>
  <c r="N60" i="9"/>
  <c r="M60" i="9"/>
  <c r="L60" i="9"/>
  <c r="G60" i="9"/>
  <c r="H60" i="9"/>
  <c r="E60" i="9"/>
  <c r="K60" i="9"/>
  <c r="I60" i="9"/>
  <c r="F60" i="9"/>
  <c r="J60" i="9"/>
  <c r="H52" i="9"/>
  <c r="G52" i="9"/>
  <c r="F52" i="9"/>
  <c r="E52" i="9"/>
  <c r="P52" i="9"/>
  <c r="K52" i="9"/>
  <c r="J52" i="9"/>
  <c r="O52" i="9"/>
  <c r="I52" i="9"/>
  <c r="N52" i="9"/>
  <c r="M52" i="9"/>
  <c r="L52" i="9"/>
  <c r="B63" i="8" l="1"/>
  <c r="D56" i="8"/>
  <c r="F56" i="8" s="1"/>
  <c r="D49" i="8"/>
  <c r="H49" i="8" s="1"/>
  <c r="F48" i="8"/>
  <c r="D40" i="8"/>
  <c r="D78" i="8" s="1"/>
  <c r="H78" i="8" s="1"/>
  <c r="B40" i="8"/>
  <c r="B78" i="8" s="1"/>
  <c r="D39" i="8"/>
  <c r="B39" i="8"/>
  <c r="B77" i="8" s="1"/>
  <c r="D38" i="8"/>
  <c r="N38" i="8" s="1"/>
  <c r="B38" i="8"/>
  <c r="B76" i="8" s="1"/>
  <c r="D37" i="8"/>
  <c r="B37" i="8"/>
  <c r="B75" i="8" s="1"/>
  <c r="J36" i="8"/>
  <c r="I36" i="8"/>
  <c r="D36" i="8"/>
  <c r="P36" i="8" s="1"/>
  <c r="B36" i="8"/>
  <c r="B74" i="8" s="1"/>
  <c r="D35" i="8"/>
  <c r="P35" i="8" s="1"/>
  <c r="B35" i="8"/>
  <c r="B73" i="8" s="1"/>
  <c r="O34" i="8"/>
  <c r="M34" i="8"/>
  <c r="L34" i="8"/>
  <c r="J34" i="8"/>
  <c r="D34" i="8"/>
  <c r="D72" i="8" s="1"/>
  <c r="I72" i="8" s="1"/>
  <c r="B34" i="8"/>
  <c r="B72" i="8" s="1"/>
  <c r="D33" i="8"/>
  <c r="O33" i="8" s="1"/>
  <c r="B33" i="8"/>
  <c r="B71" i="8" s="1"/>
  <c r="D32" i="8"/>
  <c r="N32" i="8" s="1"/>
  <c r="B32" i="8"/>
  <c r="B70" i="8" s="1"/>
  <c r="D31" i="8"/>
  <c r="F31" i="8" s="1"/>
  <c r="B31" i="8"/>
  <c r="B69" i="8" s="1"/>
  <c r="L30" i="8"/>
  <c r="K30" i="8"/>
  <c r="D30" i="8"/>
  <c r="P30" i="8" s="1"/>
  <c r="B30" i="8"/>
  <c r="B68" i="8" s="1"/>
  <c r="D29" i="8"/>
  <c r="P29" i="8" s="1"/>
  <c r="B29" i="8"/>
  <c r="B67" i="8" s="1"/>
  <c r="O28" i="8"/>
  <c r="N28" i="8"/>
  <c r="M28" i="8"/>
  <c r="D28" i="8"/>
  <c r="D66" i="8" s="1"/>
  <c r="B28" i="8"/>
  <c r="B66" i="8" s="1"/>
  <c r="D27" i="8"/>
  <c r="O27" i="8" s="1"/>
  <c r="B27" i="8"/>
  <c r="B65" i="8" s="1"/>
  <c r="D26" i="8"/>
  <c r="B26" i="8"/>
  <c r="B64" i="8" s="1"/>
  <c r="O25" i="8"/>
  <c r="D25" i="8"/>
  <c r="P25" i="8" s="1"/>
  <c r="B25" i="8"/>
  <c r="H24" i="8"/>
  <c r="D24" i="8"/>
  <c r="P24" i="8" s="1"/>
  <c r="B24" i="8"/>
  <c r="B62" i="8" s="1"/>
  <c r="M23" i="8"/>
  <c r="D23" i="8"/>
  <c r="P23" i="8" s="1"/>
  <c r="B23" i="8"/>
  <c r="B61" i="8" s="1"/>
  <c r="P22" i="8"/>
  <c r="O22" i="8"/>
  <c r="N22" i="8"/>
  <c r="M22" i="8"/>
  <c r="K22" i="8"/>
  <c r="D22" i="8"/>
  <c r="D60" i="8" s="1"/>
  <c r="J60" i="8" s="1"/>
  <c r="B22" i="8"/>
  <c r="B60" i="8" s="1"/>
  <c r="D21" i="8"/>
  <c r="K21" i="8" s="1"/>
  <c r="B21" i="8"/>
  <c r="B59" i="8" s="1"/>
  <c r="F20" i="8"/>
  <c r="D20" i="8"/>
  <c r="P20" i="8" s="1"/>
  <c r="B20" i="8"/>
  <c r="B58" i="8" s="1"/>
  <c r="D19" i="8"/>
  <c r="O19" i="8" s="1"/>
  <c r="B19" i="8"/>
  <c r="B57" i="8" s="1"/>
  <c r="F18" i="8"/>
  <c r="D18" i="8"/>
  <c r="P18" i="8" s="1"/>
  <c r="B18" i="8"/>
  <c r="B56" i="8" s="1"/>
  <c r="N17" i="8"/>
  <c r="F17" i="8"/>
  <c r="E17" i="8"/>
  <c r="D17" i="8"/>
  <c r="P17" i="8" s="1"/>
  <c r="B17" i="8"/>
  <c r="B55" i="8" s="1"/>
  <c r="P16" i="8"/>
  <c r="D16" i="8"/>
  <c r="D54" i="8" s="1"/>
  <c r="J54" i="8" s="1"/>
  <c r="B16" i="8"/>
  <c r="B54" i="8" s="1"/>
  <c r="D15" i="8"/>
  <c r="P15" i="8" s="1"/>
  <c r="B15" i="8"/>
  <c r="B53" i="8" s="1"/>
  <c r="D14" i="8"/>
  <c r="P14" i="8" s="1"/>
  <c r="B14" i="8"/>
  <c r="B52" i="8" s="1"/>
  <c r="D13" i="8"/>
  <c r="D51" i="8" s="1"/>
  <c r="B13" i="8"/>
  <c r="B51" i="8" s="1"/>
  <c r="L12" i="8"/>
  <c r="J12" i="8"/>
  <c r="D12" i="8"/>
  <c r="P12" i="8" s="1"/>
  <c r="B12" i="8"/>
  <c r="B50" i="8" s="1"/>
  <c r="M11" i="8"/>
  <c r="L11" i="8"/>
  <c r="K11" i="8"/>
  <c r="J11" i="8"/>
  <c r="I11" i="8"/>
  <c r="H11" i="8"/>
  <c r="D11" i="8"/>
  <c r="P11" i="8" s="1"/>
  <c r="B11" i="8"/>
  <c r="B49" i="8" s="1"/>
  <c r="D10" i="8"/>
  <c r="D48" i="8" s="1"/>
  <c r="E48" i="8" s="1"/>
  <c r="B10" i="8"/>
  <c r="B48" i="8" s="1"/>
  <c r="D9" i="8"/>
  <c r="P9" i="8" s="1"/>
  <c r="B9" i="8"/>
  <c r="B47" i="8" s="1"/>
  <c r="B2" i="8"/>
  <c r="H48" i="8" l="1"/>
  <c r="I10" i="8"/>
  <c r="F13" i="8"/>
  <c r="E20" i="8"/>
  <c r="E24" i="8"/>
  <c r="N34" i="8"/>
  <c r="L36" i="8"/>
  <c r="L10" i="8"/>
  <c r="H23" i="8"/>
  <c r="K24" i="8"/>
  <c r="N27" i="8"/>
  <c r="L29" i="8"/>
  <c r="I35" i="8"/>
  <c r="J35" i="8"/>
  <c r="P38" i="8"/>
  <c r="J10" i="8"/>
  <c r="G13" i="8"/>
  <c r="E23" i="8"/>
  <c r="J24" i="8"/>
  <c r="L27" i="8"/>
  <c r="K29" i="8"/>
  <c r="P32" i="8"/>
  <c r="D62" i="8"/>
  <c r="M62" i="8" s="1"/>
  <c r="M10" i="8"/>
  <c r="N10" i="8"/>
  <c r="H12" i="8"/>
  <c r="I23" i="8"/>
  <c r="L24" i="8"/>
  <c r="P27" i="8"/>
  <c r="N29" i="8"/>
  <c r="O10" i="8"/>
  <c r="I12" i="8"/>
  <c r="E18" i="8"/>
  <c r="J22" i="8"/>
  <c r="J23" i="8"/>
  <c r="L35" i="8"/>
  <c r="E72" i="8"/>
  <c r="H13" i="8"/>
  <c r="K27" i="8"/>
  <c r="K23" i="8"/>
  <c r="M35" i="8"/>
  <c r="H72" i="8"/>
  <c r="K10" i="8"/>
  <c r="I24" i="8"/>
  <c r="F29" i="8"/>
  <c r="K12" i="8"/>
  <c r="L22" i="8"/>
  <c r="L23" i="8"/>
  <c r="G25" i="8"/>
  <c r="L28" i="8"/>
  <c r="F30" i="8"/>
  <c r="I34" i="8"/>
  <c r="J72" i="8"/>
  <c r="M29" i="8"/>
  <c r="K35" i="8"/>
  <c r="K36" i="8"/>
  <c r="I48" i="8"/>
  <c r="D63" i="8"/>
  <c r="N63" i="8" s="1"/>
  <c r="N35" i="8"/>
  <c r="I40" i="8"/>
  <c r="D50" i="8"/>
  <c r="P50" i="8" s="1"/>
  <c r="D67" i="8"/>
  <c r="J67" i="8" s="1"/>
  <c r="D73" i="8"/>
  <c r="D57" i="8"/>
  <c r="E57" i="8" s="1"/>
  <c r="L9" i="8"/>
  <c r="N11" i="8"/>
  <c r="J16" i="8"/>
  <c r="H17" i="8"/>
  <c r="H18" i="8"/>
  <c r="N23" i="8"/>
  <c r="E29" i="8"/>
  <c r="E30" i="8"/>
  <c r="J40" i="8"/>
  <c r="G18" i="8"/>
  <c r="I17" i="8"/>
  <c r="L40" i="8"/>
  <c r="D61" i="8"/>
  <c r="P61" i="8" s="1"/>
  <c r="G17" i="8"/>
  <c r="M20" i="8"/>
  <c r="K16" i="8"/>
  <c r="J17" i="8"/>
  <c r="J18" i="8"/>
  <c r="P21" i="8"/>
  <c r="H25" i="8"/>
  <c r="G29" i="8"/>
  <c r="G30" i="8"/>
  <c r="E35" i="8"/>
  <c r="E36" i="8"/>
  <c r="E38" i="8"/>
  <c r="M40" i="8"/>
  <c r="I16" i="8"/>
  <c r="N9" i="8"/>
  <c r="K17" i="8"/>
  <c r="F35" i="8"/>
  <c r="F36" i="8"/>
  <c r="F38" i="8"/>
  <c r="N40" i="8"/>
  <c r="I18" i="8"/>
  <c r="O9" i="8"/>
  <c r="F23" i="8"/>
  <c r="F24" i="8"/>
  <c r="I28" i="8"/>
  <c r="I29" i="8"/>
  <c r="I30" i="8"/>
  <c r="G35" i="8"/>
  <c r="G36" i="8"/>
  <c r="M38" i="8"/>
  <c r="O40" i="8"/>
  <c r="D55" i="8"/>
  <c r="E55" i="8" s="1"/>
  <c r="D68" i="8"/>
  <c r="M68" i="8" s="1"/>
  <c r="D74" i="8"/>
  <c r="L16" i="8"/>
  <c r="E11" i="8"/>
  <c r="E12" i="8"/>
  <c r="M16" i="8"/>
  <c r="K18" i="8"/>
  <c r="H29" i="8"/>
  <c r="H30" i="8"/>
  <c r="F11" i="8"/>
  <c r="F12" i="8"/>
  <c r="N16" i="8"/>
  <c r="L17" i="8"/>
  <c r="L18" i="8"/>
  <c r="G11" i="8"/>
  <c r="G12" i="8"/>
  <c r="O16" i="8"/>
  <c r="M17" i="8"/>
  <c r="I22" i="8"/>
  <c r="G23" i="8"/>
  <c r="G24" i="8"/>
  <c r="J28" i="8"/>
  <c r="J29" i="8"/>
  <c r="J30" i="8"/>
  <c r="H35" i="8"/>
  <c r="H36" i="8"/>
  <c r="J51" i="8"/>
  <c r="I51" i="8"/>
  <c r="H51" i="8"/>
  <c r="E51" i="8"/>
  <c r="G51" i="8"/>
  <c r="F51" i="8"/>
  <c r="M51" i="8"/>
  <c r="L51" i="8"/>
  <c r="P51" i="8"/>
  <c r="O51" i="8"/>
  <c r="N51" i="8"/>
  <c r="K51" i="8"/>
  <c r="J57" i="8"/>
  <c r="I57" i="8"/>
  <c r="K57" i="8"/>
  <c r="O13" i="8"/>
  <c r="H31" i="8"/>
  <c r="K33" i="8"/>
  <c r="N37" i="8"/>
  <c r="M37" i="8"/>
  <c r="I37" i="8"/>
  <c r="L37" i="8"/>
  <c r="K37" i="8"/>
  <c r="J37" i="8"/>
  <c r="E37" i="8"/>
  <c r="P48" i="8"/>
  <c r="O48" i="8"/>
  <c r="N48" i="8"/>
  <c r="M48" i="8"/>
  <c r="L48" i="8"/>
  <c r="K48" i="8"/>
  <c r="G48" i="8"/>
  <c r="P13" i="8"/>
  <c r="L26" i="8"/>
  <c r="K26" i="8"/>
  <c r="J26" i="8"/>
  <c r="G26" i="8"/>
  <c r="I26" i="8"/>
  <c r="D64" i="8"/>
  <c r="H26" i="8"/>
  <c r="O26" i="8"/>
  <c r="L33" i="8"/>
  <c r="P57" i="8"/>
  <c r="I60" i="8"/>
  <c r="P62" i="8"/>
  <c r="F19" i="8"/>
  <c r="P31" i="8"/>
  <c r="N33" i="8"/>
  <c r="J39" i="8"/>
  <c r="I39" i="8"/>
  <c r="D77" i="8"/>
  <c r="H39" i="8"/>
  <c r="E39" i="8"/>
  <c r="G39" i="8"/>
  <c r="F39" i="8"/>
  <c r="M39" i="8"/>
  <c r="L14" i="8"/>
  <c r="H14" i="8"/>
  <c r="K14" i="8"/>
  <c r="J14" i="8"/>
  <c r="I14" i="8"/>
  <c r="G14" i="8"/>
  <c r="D52" i="8"/>
  <c r="O14" i="8"/>
  <c r="E14" i="8"/>
  <c r="H19" i="8"/>
  <c r="M26" i="8"/>
  <c r="L32" i="8"/>
  <c r="K32" i="8"/>
  <c r="J32" i="8"/>
  <c r="I32" i="8"/>
  <c r="D70" i="8"/>
  <c r="H32" i="8"/>
  <c r="G32" i="8"/>
  <c r="O32" i="8"/>
  <c r="P33" i="8"/>
  <c r="O37" i="8"/>
  <c r="L39" i="8"/>
  <c r="F49" i="8"/>
  <c r="E56" i="8"/>
  <c r="K63" i="8"/>
  <c r="P60" i="8"/>
  <c r="O60" i="8"/>
  <c r="K60" i="8"/>
  <c r="N60" i="8"/>
  <c r="M60" i="8"/>
  <c r="L60" i="8"/>
  <c r="G60" i="8"/>
  <c r="F60" i="8"/>
  <c r="E62" i="8"/>
  <c r="G31" i="8"/>
  <c r="L15" i="8"/>
  <c r="N20" i="8"/>
  <c r="O31" i="8"/>
  <c r="F37" i="8"/>
  <c r="J21" i="8"/>
  <c r="I21" i="8"/>
  <c r="D59" i="8"/>
  <c r="H21" i="8"/>
  <c r="G21" i="8"/>
  <c r="F21" i="8"/>
  <c r="E21" i="8"/>
  <c r="M21" i="8"/>
  <c r="P66" i="8"/>
  <c r="K66" i="8"/>
  <c r="O66" i="8"/>
  <c r="N66" i="8"/>
  <c r="M66" i="8"/>
  <c r="L66" i="8"/>
  <c r="G66" i="8"/>
  <c r="F66" i="8"/>
  <c r="F14" i="8"/>
  <c r="P54" i="8"/>
  <c r="O54" i="8"/>
  <c r="K54" i="8"/>
  <c r="N54" i="8"/>
  <c r="M54" i="8"/>
  <c r="L54" i="8"/>
  <c r="G54" i="8"/>
  <c r="F54" i="8"/>
  <c r="L21" i="8"/>
  <c r="N26" i="8"/>
  <c r="E32" i="8"/>
  <c r="P37" i="8"/>
  <c r="N39" i="8"/>
  <c r="G49" i="8"/>
  <c r="E54" i="8"/>
  <c r="E66" i="8"/>
  <c r="E78" i="8"/>
  <c r="J50" i="8"/>
  <c r="I50" i="8"/>
  <c r="O50" i="8"/>
  <c r="N50" i="8"/>
  <c r="L74" i="8"/>
  <c r="K74" i="8"/>
  <c r="J74" i="8"/>
  <c r="I74" i="8"/>
  <c r="G74" i="8"/>
  <c r="H74" i="8"/>
  <c r="O74" i="8"/>
  <c r="N74" i="8"/>
  <c r="J15" i="8"/>
  <c r="I15" i="8"/>
  <c r="D53" i="8"/>
  <c r="H15" i="8"/>
  <c r="E15" i="8"/>
  <c r="G15" i="8"/>
  <c r="F15" i="8"/>
  <c r="M15" i="8"/>
  <c r="E74" i="8"/>
  <c r="E60" i="8"/>
  <c r="F62" i="8"/>
  <c r="M50" i="8"/>
  <c r="H60" i="8"/>
  <c r="M74" i="8"/>
  <c r="N19" i="8"/>
  <c r="M19" i="8"/>
  <c r="L19" i="8"/>
  <c r="K19" i="8"/>
  <c r="J19" i="8"/>
  <c r="I19" i="8"/>
  <c r="E19" i="8"/>
  <c r="J48" i="8"/>
  <c r="O15" i="8"/>
  <c r="G19" i="8"/>
  <c r="F26" i="8"/>
  <c r="H37" i="8"/>
  <c r="L56" i="8"/>
  <c r="K56" i="8"/>
  <c r="J56" i="8"/>
  <c r="G56" i="8"/>
  <c r="I56" i="8"/>
  <c r="H56" i="8"/>
  <c r="O56" i="8"/>
  <c r="N56" i="8"/>
  <c r="J63" i="8"/>
  <c r="I63" i="8"/>
  <c r="H63" i="8"/>
  <c r="G63" i="8"/>
  <c r="E63" i="8"/>
  <c r="F63" i="8"/>
  <c r="M63" i="8"/>
  <c r="L63" i="8"/>
  <c r="D75" i="8"/>
  <c r="J9" i="8"/>
  <c r="I9" i="8"/>
  <c r="D47" i="8"/>
  <c r="H9" i="8"/>
  <c r="G9" i="8"/>
  <c r="F9" i="8"/>
  <c r="E9" i="8"/>
  <c r="M9" i="8"/>
  <c r="M14" i="8"/>
  <c r="P19" i="8"/>
  <c r="N21" i="8"/>
  <c r="N25" i="8"/>
  <c r="M25" i="8"/>
  <c r="L25" i="8"/>
  <c r="K25" i="8"/>
  <c r="I25" i="8"/>
  <c r="J25" i="8"/>
  <c r="E25" i="8"/>
  <c r="P26" i="8"/>
  <c r="F32" i="8"/>
  <c r="P72" i="8"/>
  <c r="O72" i="8"/>
  <c r="N72" i="8"/>
  <c r="M72" i="8"/>
  <c r="K72" i="8"/>
  <c r="L72" i="8"/>
  <c r="G72" i="8"/>
  <c r="F72" i="8"/>
  <c r="O39" i="8"/>
  <c r="H54" i="8"/>
  <c r="M56" i="8"/>
  <c r="O63" i="8"/>
  <c r="H66" i="8"/>
  <c r="N31" i="8"/>
  <c r="M31" i="8"/>
  <c r="L31" i="8"/>
  <c r="K31" i="8"/>
  <c r="J31" i="8"/>
  <c r="I31" i="8"/>
  <c r="E31" i="8"/>
  <c r="P78" i="8"/>
  <c r="K78" i="8"/>
  <c r="O78" i="8"/>
  <c r="N78" i="8"/>
  <c r="M78" i="8"/>
  <c r="L78" i="8"/>
  <c r="G78" i="8"/>
  <c r="F78" i="8"/>
  <c r="L62" i="8"/>
  <c r="G62" i="8"/>
  <c r="J62" i="8"/>
  <c r="I62" i="8"/>
  <c r="D69" i="8"/>
  <c r="K15" i="8"/>
  <c r="J33" i="8"/>
  <c r="I33" i="8"/>
  <c r="D71" i="8"/>
  <c r="H33" i="8"/>
  <c r="G33" i="8"/>
  <c r="F33" i="8"/>
  <c r="E33" i="8"/>
  <c r="M33" i="8"/>
  <c r="F50" i="8"/>
  <c r="F74" i="8"/>
  <c r="N15" i="8"/>
  <c r="P74" i="8"/>
  <c r="E26" i="8"/>
  <c r="G37" i="8"/>
  <c r="K39" i="8"/>
  <c r="N49" i="8"/>
  <c r="M49" i="8"/>
  <c r="L49" i="8"/>
  <c r="K49" i="8"/>
  <c r="I49" i="8"/>
  <c r="J49" i="8"/>
  <c r="E49" i="8"/>
  <c r="N68" i="8"/>
  <c r="K9" i="8"/>
  <c r="N14" i="8"/>
  <c r="O21" i="8"/>
  <c r="F25" i="8"/>
  <c r="M32" i="8"/>
  <c r="L38" i="8"/>
  <c r="K38" i="8"/>
  <c r="J38" i="8"/>
  <c r="I38" i="8"/>
  <c r="G38" i="8"/>
  <c r="D76" i="8"/>
  <c r="H38" i="8"/>
  <c r="O38" i="8"/>
  <c r="P39" i="8"/>
  <c r="O49" i="8"/>
  <c r="I54" i="8"/>
  <c r="P56" i="8"/>
  <c r="P63" i="8"/>
  <c r="I66" i="8"/>
  <c r="I78" i="8"/>
  <c r="N13" i="8"/>
  <c r="M13" i="8"/>
  <c r="L13" i="8"/>
  <c r="I13" i="8"/>
  <c r="K13" i="8"/>
  <c r="J13" i="8"/>
  <c r="E13" i="8"/>
  <c r="L20" i="8"/>
  <c r="G20" i="8"/>
  <c r="K20" i="8"/>
  <c r="J20" i="8"/>
  <c r="I20" i="8"/>
  <c r="D58" i="8"/>
  <c r="H20" i="8"/>
  <c r="O20" i="8"/>
  <c r="J27" i="8"/>
  <c r="I27" i="8"/>
  <c r="D65" i="8"/>
  <c r="H27" i="8"/>
  <c r="G27" i="8"/>
  <c r="E27" i="8"/>
  <c r="F27" i="8"/>
  <c r="M27" i="8"/>
  <c r="P49" i="8"/>
  <c r="J66" i="8"/>
  <c r="J78" i="8"/>
  <c r="P55" i="8"/>
  <c r="P67" i="8"/>
  <c r="P73" i="8"/>
  <c r="K28" i="8"/>
  <c r="K34" i="8"/>
  <c r="K40" i="8"/>
  <c r="E73" i="8"/>
  <c r="I55" i="8"/>
  <c r="P28" i="8"/>
  <c r="P34" i="8"/>
  <c r="P40" i="8"/>
  <c r="J55" i="8"/>
  <c r="J73" i="8"/>
  <c r="E10" i="8"/>
  <c r="O11" i="8"/>
  <c r="M12" i="8"/>
  <c r="E16" i="8"/>
  <c r="O17" i="8"/>
  <c r="M18" i="8"/>
  <c r="E22" i="8"/>
  <c r="O23" i="8"/>
  <c r="M24" i="8"/>
  <c r="E28" i="8"/>
  <c r="O29" i="8"/>
  <c r="M30" i="8"/>
  <c r="E34" i="8"/>
  <c r="O35" i="8"/>
  <c r="M36" i="8"/>
  <c r="E40" i="8"/>
  <c r="K55" i="8"/>
  <c r="K67" i="8"/>
  <c r="K73" i="8"/>
  <c r="F10" i="8"/>
  <c r="N12" i="8"/>
  <c r="F16" i="8"/>
  <c r="N18" i="8"/>
  <c r="F22" i="8"/>
  <c r="N24" i="8"/>
  <c r="F28" i="8"/>
  <c r="N30" i="8"/>
  <c r="F34" i="8"/>
  <c r="N36" i="8"/>
  <c r="F40" i="8"/>
  <c r="L55" i="8"/>
  <c r="L73" i="8"/>
  <c r="G10" i="8"/>
  <c r="O12" i="8"/>
  <c r="G16" i="8"/>
  <c r="O18" i="8"/>
  <c r="G22" i="8"/>
  <c r="O24" i="8"/>
  <c r="G28" i="8"/>
  <c r="O30" i="8"/>
  <c r="G34" i="8"/>
  <c r="O36" i="8"/>
  <c r="G40" i="8"/>
  <c r="M73" i="8"/>
  <c r="I73" i="8"/>
  <c r="P10" i="8"/>
  <c r="H10" i="8"/>
  <c r="H16" i="8"/>
  <c r="H22" i="8"/>
  <c r="H28" i="8"/>
  <c r="H34" i="8"/>
  <c r="H40" i="8"/>
  <c r="K62" i="8" l="1"/>
  <c r="N62" i="8"/>
  <c r="O62" i="8"/>
  <c r="H62" i="8"/>
  <c r="K61" i="8"/>
  <c r="O57" i="8"/>
  <c r="H50" i="8"/>
  <c r="N73" i="8"/>
  <c r="O73" i="8"/>
  <c r="H73" i="8"/>
  <c r="G73" i="8"/>
  <c r="F73" i="8"/>
  <c r="H68" i="8"/>
  <c r="K50" i="8"/>
  <c r="E50" i="8"/>
  <c r="N61" i="8"/>
  <c r="O61" i="8"/>
  <c r="H61" i="8"/>
  <c r="G61" i="8"/>
  <c r="F61" i="8"/>
  <c r="M67" i="8"/>
  <c r="E67" i="8"/>
  <c r="G68" i="8"/>
  <c r="N57" i="8"/>
  <c r="G50" i="8"/>
  <c r="L57" i="8"/>
  <c r="O68" i="8"/>
  <c r="M61" i="8"/>
  <c r="E61" i="8"/>
  <c r="P68" i="8"/>
  <c r="I68" i="8"/>
  <c r="L50" i="8"/>
  <c r="M57" i="8"/>
  <c r="M55" i="8"/>
  <c r="I67" i="8"/>
  <c r="I61" i="8"/>
  <c r="J68" i="8"/>
  <c r="F57" i="8"/>
  <c r="K68" i="8"/>
  <c r="F68" i="8"/>
  <c r="E68" i="8"/>
  <c r="G57" i="8"/>
  <c r="L67" i="8"/>
  <c r="L68" i="8"/>
  <c r="H57" i="8"/>
  <c r="N67" i="8"/>
  <c r="O67" i="8"/>
  <c r="H67" i="8"/>
  <c r="G67" i="8"/>
  <c r="F67" i="8"/>
  <c r="N55" i="8"/>
  <c r="F55" i="8"/>
  <c r="H55" i="8"/>
  <c r="O55" i="8"/>
  <c r="G55" i="8"/>
  <c r="L61" i="8"/>
  <c r="J61" i="8"/>
  <c r="H76" i="8"/>
  <c r="G76" i="8"/>
  <c r="F76" i="8"/>
  <c r="E76" i="8"/>
  <c r="O76" i="8"/>
  <c r="P76" i="8"/>
  <c r="K76" i="8"/>
  <c r="J76" i="8"/>
  <c r="N76" i="8"/>
  <c r="L76" i="8"/>
  <c r="M76" i="8"/>
  <c r="I76" i="8"/>
  <c r="F47" i="8"/>
  <c r="E47" i="8"/>
  <c r="P47" i="8"/>
  <c r="M47" i="8"/>
  <c r="O47" i="8"/>
  <c r="N47" i="8"/>
  <c r="I47" i="8"/>
  <c r="L47" i="8"/>
  <c r="K47" i="8"/>
  <c r="J47" i="8"/>
  <c r="H47" i="8"/>
  <c r="G47" i="8"/>
  <c r="F59" i="8"/>
  <c r="E59" i="8"/>
  <c r="P59" i="8"/>
  <c r="O59" i="8"/>
  <c r="N59" i="8"/>
  <c r="M59" i="8"/>
  <c r="I59" i="8"/>
  <c r="H59" i="8"/>
  <c r="J59" i="8"/>
  <c r="G59" i="8"/>
  <c r="L59" i="8"/>
  <c r="K59" i="8"/>
  <c r="H52" i="8"/>
  <c r="G52" i="8"/>
  <c r="F52" i="8"/>
  <c r="E52" i="8"/>
  <c r="P52" i="8"/>
  <c r="O52" i="8"/>
  <c r="K52" i="8"/>
  <c r="J52" i="8"/>
  <c r="N52" i="8"/>
  <c r="M52" i="8"/>
  <c r="L52" i="8"/>
  <c r="I52" i="8"/>
  <c r="F77" i="8"/>
  <c r="E77" i="8"/>
  <c r="M77" i="8"/>
  <c r="P77" i="8"/>
  <c r="O77" i="8"/>
  <c r="N77" i="8"/>
  <c r="I77" i="8"/>
  <c r="H77" i="8"/>
  <c r="K77" i="8"/>
  <c r="L77" i="8"/>
  <c r="J77" i="8"/>
  <c r="G77" i="8"/>
  <c r="H64" i="8"/>
  <c r="O64" i="8"/>
  <c r="G64" i="8"/>
  <c r="F64" i="8"/>
  <c r="E64" i="8"/>
  <c r="P64" i="8"/>
  <c r="K64" i="8"/>
  <c r="J64" i="8"/>
  <c r="M64" i="8"/>
  <c r="N64" i="8"/>
  <c r="L64" i="8"/>
  <c r="I64" i="8"/>
  <c r="F71" i="8"/>
  <c r="M71" i="8"/>
  <c r="E71" i="8"/>
  <c r="P71" i="8"/>
  <c r="O71" i="8"/>
  <c r="N71" i="8"/>
  <c r="I71" i="8"/>
  <c r="H71" i="8"/>
  <c r="J71" i="8"/>
  <c r="G71" i="8"/>
  <c r="K71" i="8"/>
  <c r="L71" i="8"/>
  <c r="J69" i="8"/>
  <c r="E69" i="8"/>
  <c r="I69" i="8"/>
  <c r="H69" i="8"/>
  <c r="G69" i="8"/>
  <c r="F69" i="8"/>
  <c r="M69" i="8"/>
  <c r="L69" i="8"/>
  <c r="O69" i="8"/>
  <c r="N69" i="8"/>
  <c r="K69" i="8"/>
  <c r="P69" i="8"/>
  <c r="H58" i="8"/>
  <c r="O58" i="8"/>
  <c r="G58" i="8"/>
  <c r="F58" i="8"/>
  <c r="E58" i="8"/>
  <c r="P58" i="8"/>
  <c r="K58" i="8"/>
  <c r="J58" i="8"/>
  <c r="I58" i="8"/>
  <c r="N58" i="8"/>
  <c r="M58" i="8"/>
  <c r="L58" i="8"/>
  <c r="J75" i="8"/>
  <c r="I75" i="8"/>
  <c r="H75" i="8"/>
  <c r="G75" i="8"/>
  <c r="F75" i="8"/>
  <c r="E75" i="8"/>
  <c r="M75" i="8"/>
  <c r="L75" i="8"/>
  <c r="P75" i="8"/>
  <c r="O75" i="8"/>
  <c r="N75" i="8"/>
  <c r="K75" i="8"/>
  <c r="H70" i="8"/>
  <c r="G70" i="8"/>
  <c r="F70" i="8"/>
  <c r="E70" i="8"/>
  <c r="O70" i="8"/>
  <c r="P70" i="8"/>
  <c r="K70" i="8"/>
  <c r="J70" i="8"/>
  <c r="I70" i="8"/>
  <c r="N70" i="8"/>
  <c r="M70" i="8"/>
  <c r="L70" i="8"/>
  <c r="F65" i="8"/>
  <c r="E65" i="8"/>
  <c r="P65" i="8"/>
  <c r="O65" i="8"/>
  <c r="M65" i="8"/>
  <c r="N65" i="8"/>
  <c r="I65" i="8"/>
  <c r="H65" i="8"/>
  <c r="K65" i="8"/>
  <c r="G65" i="8"/>
  <c r="L65" i="8"/>
  <c r="J65" i="8"/>
  <c r="F53" i="8"/>
  <c r="M53" i="8"/>
  <c r="E53" i="8"/>
  <c r="P53" i="8"/>
  <c r="O53" i="8"/>
  <c r="N53" i="8"/>
  <c r="I53" i="8"/>
  <c r="H53" i="8"/>
  <c r="K53" i="8"/>
  <c r="J53" i="8"/>
  <c r="L53" i="8"/>
  <c r="G53" i="8"/>
  <c r="H73" i="7" l="1"/>
  <c r="D73" i="7"/>
  <c r="N73" i="7" s="1"/>
  <c r="D67" i="7"/>
  <c r="N67" i="7" s="1"/>
  <c r="F60" i="7"/>
  <c r="B58" i="7"/>
  <c r="B57" i="7"/>
  <c r="D50" i="7"/>
  <c r="F50" i="7" s="1"/>
  <c r="N40" i="7"/>
  <c r="M40" i="7"/>
  <c r="D40" i="7"/>
  <c r="D78" i="7" s="1"/>
  <c r="B40" i="7"/>
  <c r="B78" i="7" s="1"/>
  <c r="D39" i="7"/>
  <c r="K39" i="7" s="1"/>
  <c r="B39" i="7"/>
  <c r="B77" i="7" s="1"/>
  <c r="D38" i="7"/>
  <c r="F38" i="7" s="1"/>
  <c r="B38" i="7"/>
  <c r="B76" i="7" s="1"/>
  <c r="D37" i="7"/>
  <c r="D75" i="7" s="1"/>
  <c r="B37" i="7"/>
  <c r="B75" i="7" s="1"/>
  <c r="M36" i="7"/>
  <c r="K36" i="7"/>
  <c r="J36" i="7"/>
  <c r="I36" i="7"/>
  <c r="F36" i="7"/>
  <c r="E36" i="7"/>
  <c r="D36" i="7"/>
  <c r="P36" i="7" s="1"/>
  <c r="B36" i="7"/>
  <c r="B74" i="7" s="1"/>
  <c r="D35" i="7"/>
  <c r="F35" i="7" s="1"/>
  <c r="B35" i="7"/>
  <c r="B73" i="7" s="1"/>
  <c r="O34" i="7"/>
  <c r="N34" i="7"/>
  <c r="D34" i="7"/>
  <c r="D72" i="7" s="1"/>
  <c r="I72" i="7" s="1"/>
  <c r="B34" i="7"/>
  <c r="B72" i="7" s="1"/>
  <c r="P33" i="7"/>
  <c r="N33" i="7"/>
  <c r="L33" i="7"/>
  <c r="K33" i="7"/>
  <c r="D33" i="7"/>
  <c r="O33" i="7" s="1"/>
  <c r="B33" i="7"/>
  <c r="B71" i="7" s="1"/>
  <c r="D32" i="7"/>
  <c r="G32" i="7" s="1"/>
  <c r="B32" i="7"/>
  <c r="B70" i="7" s="1"/>
  <c r="I31" i="7"/>
  <c r="G31" i="7"/>
  <c r="F31" i="7"/>
  <c r="D31" i="7"/>
  <c r="D69" i="7" s="1"/>
  <c r="B31" i="7"/>
  <c r="B69" i="7" s="1"/>
  <c r="D30" i="7"/>
  <c r="P30" i="7" s="1"/>
  <c r="B30" i="7"/>
  <c r="B68" i="7" s="1"/>
  <c r="D29" i="7"/>
  <c r="F29" i="7" s="1"/>
  <c r="B29" i="7"/>
  <c r="B67" i="7" s="1"/>
  <c r="O28" i="7"/>
  <c r="N28" i="7"/>
  <c r="M28" i="7"/>
  <c r="D28" i="7"/>
  <c r="D66" i="7" s="1"/>
  <c r="B28" i="7"/>
  <c r="B66" i="7" s="1"/>
  <c r="L27" i="7"/>
  <c r="D27" i="7"/>
  <c r="P27" i="7" s="1"/>
  <c r="B27" i="7"/>
  <c r="B65" i="7" s="1"/>
  <c r="P26" i="7"/>
  <c r="N26" i="7"/>
  <c r="D26" i="7"/>
  <c r="G26" i="7" s="1"/>
  <c r="B26" i="7"/>
  <c r="B64" i="7" s="1"/>
  <c r="P25" i="7"/>
  <c r="O25" i="7"/>
  <c r="K25" i="7"/>
  <c r="I25" i="7"/>
  <c r="H25" i="7"/>
  <c r="D25" i="7"/>
  <c r="G25" i="7" s="1"/>
  <c r="B25" i="7"/>
  <c r="B63" i="7" s="1"/>
  <c r="M24" i="7"/>
  <c r="L24" i="7"/>
  <c r="K24" i="7"/>
  <c r="J24" i="7"/>
  <c r="I24" i="7"/>
  <c r="H24" i="7"/>
  <c r="F24" i="7"/>
  <c r="D24" i="7"/>
  <c r="P24" i="7" s="1"/>
  <c r="B24" i="7"/>
  <c r="B62" i="7" s="1"/>
  <c r="D23" i="7"/>
  <c r="F23" i="7" s="1"/>
  <c r="B23" i="7"/>
  <c r="B61" i="7" s="1"/>
  <c r="F22" i="7"/>
  <c r="E22" i="7"/>
  <c r="D22" i="7"/>
  <c r="D60" i="7" s="1"/>
  <c r="J60" i="7" s="1"/>
  <c r="B22" i="7"/>
  <c r="B60" i="7" s="1"/>
  <c r="P21" i="7"/>
  <c r="O21" i="7"/>
  <c r="D21" i="7"/>
  <c r="E21" i="7" s="1"/>
  <c r="B21" i="7"/>
  <c r="B59" i="7" s="1"/>
  <c r="P20" i="7"/>
  <c r="N20" i="7"/>
  <c r="M20" i="7"/>
  <c r="J20" i="7"/>
  <c r="I20" i="7"/>
  <c r="H20" i="7"/>
  <c r="G20" i="7"/>
  <c r="D20" i="7"/>
  <c r="F20" i="7" s="1"/>
  <c r="B20" i="7"/>
  <c r="P19" i="7"/>
  <c r="L19" i="7"/>
  <c r="K19" i="7"/>
  <c r="J19" i="7"/>
  <c r="I19" i="7"/>
  <c r="H19" i="7"/>
  <c r="G19" i="7"/>
  <c r="F19" i="7"/>
  <c r="D19" i="7"/>
  <c r="D57" i="7" s="1"/>
  <c r="B19" i="7"/>
  <c r="D18" i="7"/>
  <c r="P18" i="7" s="1"/>
  <c r="B18" i="7"/>
  <c r="B56" i="7" s="1"/>
  <c r="D17" i="7"/>
  <c r="M17" i="7" s="1"/>
  <c r="B17" i="7"/>
  <c r="B55" i="7" s="1"/>
  <c r="N16" i="7"/>
  <c r="M16" i="7"/>
  <c r="L16" i="7"/>
  <c r="J16" i="7"/>
  <c r="D16" i="7"/>
  <c r="E16" i="7" s="1"/>
  <c r="B16" i="7"/>
  <c r="B54" i="7" s="1"/>
  <c r="P15" i="7"/>
  <c r="L15" i="7"/>
  <c r="K15" i="7"/>
  <c r="H15" i="7"/>
  <c r="G15" i="7"/>
  <c r="F15" i="7"/>
  <c r="E15" i="7"/>
  <c r="D15" i="7"/>
  <c r="B15" i="7"/>
  <c r="B53" i="7" s="1"/>
  <c r="D14" i="7"/>
  <c r="P14" i="7" s="1"/>
  <c r="B14" i="7"/>
  <c r="B52" i="7" s="1"/>
  <c r="D13" i="7"/>
  <c r="P13" i="7" s="1"/>
  <c r="B13" i="7"/>
  <c r="B51" i="7" s="1"/>
  <c r="N12" i="7"/>
  <c r="M12" i="7"/>
  <c r="L12" i="7"/>
  <c r="K12" i="7"/>
  <c r="J12" i="7"/>
  <c r="I12" i="7"/>
  <c r="D12" i="7"/>
  <c r="P12" i="7" s="1"/>
  <c r="B12" i="7"/>
  <c r="B50" i="7" s="1"/>
  <c r="D11" i="7"/>
  <c r="J11" i="7" s="1"/>
  <c r="B11" i="7"/>
  <c r="B49" i="7" s="1"/>
  <c r="D10" i="7"/>
  <c r="F10" i="7" s="1"/>
  <c r="B10" i="7"/>
  <c r="B48" i="7" s="1"/>
  <c r="D9" i="7"/>
  <c r="E9" i="7" s="1"/>
  <c r="B9" i="7"/>
  <c r="B47" i="7" s="1"/>
  <c r="B2" i="7"/>
  <c r="E30" i="7" l="1"/>
  <c r="F67" i="7"/>
  <c r="J23" i="7"/>
  <c r="H67" i="7"/>
  <c r="L23" i="7"/>
  <c r="H29" i="7"/>
  <c r="J30" i="7"/>
  <c r="L22" i="7"/>
  <c r="O23" i="7"/>
  <c r="F26" i="7"/>
  <c r="K29" i="7"/>
  <c r="F25" i="7"/>
  <c r="I26" i="7"/>
  <c r="J28" i="7"/>
  <c r="M29" i="7"/>
  <c r="N30" i="7"/>
  <c r="J34" i="7"/>
  <c r="M35" i="7"/>
  <c r="I40" i="7"/>
  <c r="D62" i="7"/>
  <c r="G62" i="7" s="1"/>
  <c r="E72" i="7"/>
  <c r="I18" i="7"/>
  <c r="F34" i="7"/>
  <c r="K35" i="7"/>
  <c r="O9" i="7"/>
  <c r="E12" i="7"/>
  <c r="P9" i="7"/>
  <c r="F12" i="7"/>
  <c r="F16" i="7"/>
  <c r="N17" i="7"/>
  <c r="H21" i="7"/>
  <c r="N22" i="7"/>
  <c r="H12" i="7"/>
  <c r="I16" i="7"/>
  <c r="N21" i="7"/>
  <c r="O22" i="7"/>
  <c r="E24" i="7"/>
  <c r="M26" i="7"/>
  <c r="L28" i="7"/>
  <c r="O29" i="7"/>
  <c r="E33" i="7"/>
  <c r="L34" i="7"/>
  <c r="J40" i="7"/>
  <c r="K72" i="7"/>
  <c r="M34" i="7"/>
  <c r="L40" i="7"/>
  <c r="G23" i="7"/>
  <c r="P10" i="7"/>
  <c r="H18" i="7"/>
  <c r="H23" i="7"/>
  <c r="F30" i="7"/>
  <c r="H31" i="7"/>
  <c r="H36" i="7"/>
  <c r="N38" i="7"/>
  <c r="O40" i="7"/>
  <c r="E60" i="7"/>
  <c r="G67" i="7"/>
  <c r="G73" i="7"/>
  <c r="O10" i="7"/>
  <c r="F18" i="7"/>
  <c r="F73" i="7"/>
  <c r="H30" i="7"/>
  <c r="K23" i="7"/>
  <c r="G29" i="7"/>
  <c r="I30" i="7"/>
  <c r="O31" i="7"/>
  <c r="G35" i="7"/>
  <c r="H60" i="7"/>
  <c r="I67" i="7"/>
  <c r="I73" i="7"/>
  <c r="P38" i="7"/>
  <c r="H35" i="7"/>
  <c r="D61" i="7"/>
  <c r="O67" i="7"/>
  <c r="O73" i="7"/>
  <c r="P11" i="7"/>
  <c r="J17" i="7"/>
  <c r="H9" i="7"/>
  <c r="K17" i="7"/>
  <c r="L18" i="7"/>
  <c r="O19" i="7"/>
  <c r="J22" i="7"/>
  <c r="M23" i="7"/>
  <c r="N24" i="7"/>
  <c r="E26" i="7"/>
  <c r="E28" i="7"/>
  <c r="J29" i="7"/>
  <c r="K30" i="7"/>
  <c r="E34" i="7"/>
  <c r="J35" i="7"/>
  <c r="L36" i="7"/>
  <c r="N39" i="7"/>
  <c r="D55" i="7"/>
  <c r="N55" i="7" s="1"/>
  <c r="D68" i="7"/>
  <c r="D74" i="7"/>
  <c r="K18" i="7"/>
  <c r="L17" i="7"/>
  <c r="M18" i="7"/>
  <c r="D56" i="7"/>
  <c r="J10" i="7"/>
  <c r="E18" i="7"/>
  <c r="M38" i="7"/>
  <c r="J18" i="7"/>
  <c r="G9" i="7"/>
  <c r="I22" i="7"/>
  <c r="P31" i="7"/>
  <c r="N9" i="7"/>
  <c r="F28" i="7"/>
  <c r="L30" i="7"/>
  <c r="N18" i="7"/>
  <c r="G21" i="7"/>
  <c r="M22" i="7"/>
  <c r="I28" i="7"/>
  <c r="L29" i="7"/>
  <c r="M30" i="7"/>
  <c r="I34" i="7"/>
  <c r="L35" i="7"/>
  <c r="N36" i="7"/>
  <c r="J57" i="7"/>
  <c r="I57" i="7"/>
  <c r="H57" i="7"/>
  <c r="G57" i="7"/>
  <c r="F57" i="7"/>
  <c r="M57" i="7"/>
  <c r="K57" i="7"/>
  <c r="E57" i="7"/>
  <c r="P57" i="7"/>
  <c r="L57" i="7"/>
  <c r="O57" i="7"/>
  <c r="N57" i="7"/>
  <c r="J75" i="7"/>
  <c r="I75" i="7"/>
  <c r="H75" i="7"/>
  <c r="G75" i="7"/>
  <c r="F75" i="7"/>
  <c r="M75" i="7"/>
  <c r="L75" i="7"/>
  <c r="P75" i="7"/>
  <c r="O75" i="7"/>
  <c r="N75" i="7"/>
  <c r="K75" i="7"/>
  <c r="E75" i="7"/>
  <c r="J69" i="7"/>
  <c r="I69" i="7"/>
  <c r="H69" i="7"/>
  <c r="G69" i="7"/>
  <c r="F69" i="7"/>
  <c r="M69" i="7"/>
  <c r="L69" i="7"/>
  <c r="O69" i="7"/>
  <c r="P69" i="7"/>
  <c r="N69" i="7"/>
  <c r="K69" i="7"/>
  <c r="E69" i="7"/>
  <c r="P78" i="7"/>
  <c r="O78" i="7"/>
  <c r="N78" i="7"/>
  <c r="M78" i="7"/>
  <c r="L78" i="7"/>
  <c r="G78" i="7"/>
  <c r="F78" i="7"/>
  <c r="P66" i="7"/>
  <c r="O66" i="7"/>
  <c r="N66" i="7"/>
  <c r="M66" i="7"/>
  <c r="L66" i="7"/>
  <c r="G66" i="7"/>
  <c r="F66" i="7"/>
  <c r="G13" i="7"/>
  <c r="G14" i="7"/>
  <c r="L11" i="7"/>
  <c r="D49" i="7"/>
  <c r="N61" i="7"/>
  <c r="M61" i="7"/>
  <c r="L61" i="7"/>
  <c r="K61" i="7"/>
  <c r="J61" i="7"/>
  <c r="E61" i="7"/>
  <c r="K78" i="7"/>
  <c r="F17" i="7"/>
  <c r="E17" i="7"/>
  <c r="I17" i="7"/>
  <c r="N27" i="7"/>
  <c r="P32" i="7"/>
  <c r="E38" i="7"/>
  <c r="O39" i="7"/>
  <c r="P50" i="7"/>
  <c r="L56" i="7"/>
  <c r="K56" i="7"/>
  <c r="J56" i="7"/>
  <c r="I56" i="7"/>
  <c r="H56" i="7"/>
  <c r="O56" i="7"/>
  <c r="F61" i="7"/>
  <c r="P68" i="7"/>
  <c r="P74" i="7"/>
  <c r="K9" i="7"/>
  <c r="M10" i="7"/>
  <c r="N11" i="7"/>
  <c r="D54" i="7"/>
  <c r="H16" i="7"/>
  <c r="G16" i="7"/>
  <c r="K16" i="7"/>
  <c r="G17" i="7"/>
  <c r="K21" i="7"/>
  <c r="N25" i="7"/>
  <c r="L25" i="7"/>
  <c r="M25" i="7"/>
  <c r="J25" i="7"/>
  <c r="E25" i="7"/>
  <c r="O27" i="7"/>
  <c r="P39" i="7"/>
  <c r="E56" i="7"/>
  <c r="G61" i="7"/>
  <c r="L14" i="7"/>
  <c r="K14" i="7"/>
  <c r="D52" i="7"/>
  <c r="O14" i="7"/>
  <c r="N13" i="7"/>
  <c r="M13" i="7"/>
  <c r="E13" i="7"/>
  <c r="E14" i="7"/>
  <c r="F13" i="7"/>
  <c r="F14" i="7"/>
  <c r="G37" i="7"/>
  <c r="L13" i="7"/>
  <c r="N14" i="7"/>
  <c r="N32" i="7"/>
  <c r="L38" i="7"/>
  <c r="K38" i="7"/>
  <c r="J38" i="7"/>
  <c r="I38" i="7"/>
  <c r="D76" i="7"/>
  <c r="H38" i="7"/>
  <c r="O38" i="7"/>
  <c r="N50" i="7"/>
  <c r="K66" i="7"/>
  <c r="L10" i="7"/>
  <c r="M11" i="7"/>
  <c r="O13" i="7"/>
  <c r="L9" i="7"/>
  <c r="N10" i="7"/>
  <c r="O11" i="7"/>
  <c r="J15" i="7"/>
  <c r="I15" i="7"/>
  <c r="D53" i="7"/>
  <c r="M15" i="7"/>
  <c r="H17" i="7"/>
  <c r="L21" i="7"/>
  <c r="J33" i="7"/>
  <c r="I33" i="7"/>
  <c r="H33" i="7"/>
  <c r="D71" i="7"/>
  <c r="G33" i="7"/>
  <c r="F33" i="7"/>
  <c r="M33" i="7"/>
  <c r="G38" i="7"/>
  <c r="D51" i="7"/>
  <c r="F56" i="7"/>
  <c r="H61" i="7"/>
  <c r="D63" i="7"/>
  <c r="F62" i="7"/>
  <c r="H66" i="7"/>
  <c r="H72" i="7"/>
  <c r="H78" i="7"/>
  <c r="N37" i="7"/>
  <c r="M37" i="7"/>
  <c r="L37" i="7"/>
  <c r="K37" i="7"/>
  <c r="J37" i="7"/>
  <c r="E37" i="7"/>
  <c r="H37" i="7"/>
  <c r="L50" i="7"/>
  <c r="K50" i="7"/>
  <c r="J50" i="7"/>
  <c r="I50" i="7"/>
  <c r="H50" i="7"/>
  <c r="O50" i="7"/>
  <c r="H13" i="7"/>
  <c r="H14" i="7"/>
  <c r="P60" i="7"/>
  <c r="O60" i="7"/>
  <c r="N60" i="7"/>
  <c r="M60" i="7"/>
  <c r="L60" i="7"/>
  <c r="G60" i="7"/>
  <c r="J27" i="7"/>
  <c r="H27" i="7"/>
  <c r="I27" i="7"/>
  <c r="D65" i="7"/>
  <c r="F27" i="7"/>
  <c r="M27" i="7"/>
  <c r="E50" i="7"/>
  <c r="I60" i="7"/>
  <c r="E66" i="7"/>
  <c r="L68" i="7"/>
  <c r="K68" i="7"/>
  <c r="J68" i="7"/>
  <c r="I68" i="7"/>
  <c r="H68" i="7"/>
  <c r="O68" i="7"/>
  <c r="N68" i="7"/>
  <c r="L74" i="7"/>
  <c r="K74" i="7"/>
  <c r="J74" i="7"/>
  <c r="I74" i="7"/>
  <c r="H74" i="7"/>
  <c r="O74" i="7"/>
  <c r="N74" i="7"/>
  <c r="E78" i="7"/>
  <c r="I13" i="7"/>
  <c r="I14" i="7"/>
  <c r="O17" i="7"/>
  <c r="E27" i="7"/>
  <c r="F32" i="7"/>
  <c r="E39" i="7"/>
  <c r="J13" i="7"/>
  <c r="J14" i="7"/>
  <c r="N15" i="7"/>
  <c r="O16" i="7"/>
  <c r="P17" i="7"/>
  <c r="L20" i="7"/>
  <c r="K20" i="7"/>
  <c r="D58" i="7"/>
  <c r="O20" i="7"/>
  <c r="G27" i="7"/>
  <c r="P37" i="7"/>
  <c r="G50" i="7"/>
  <c r="K60" i="7"/>
  <c r="I66" i="7"/>
  <c r="F68" i="7"/>
  <c r="F74" i="7"/>
  <c r="I78" i="7"/>
  <c r="F37" i="7"/>
  <c r="F11" i="7"/>
  <c r="E11" i="7"/>
  <c r="I11" i="7"/>
  <c r="L32" i="7"/>
  <c r="J32" i="7"/>
  <c r="K32" i="7"/>
  <c r="I32" i="7"/>
  <c r="D70" i="7"/>
  <c r="H32" i="7"/>
  <c r="O32" i="7"/>
  <c r="K62" i="7"/>
  <c r="D48" i="7"/>
  <c r="H10" i="7"/>
  <c r="G10" i="7"/>
  <c r="K10" i="7"/>
  <c r="G11" i="7"/>
  <c r="E32" i="7"/>
  <c r="I37" i="7"/>
  <c r="J39" i="7"/>
  <c r="I39" i="7"/>
  <c r="D77" i="7"/>
  <c r="H39" i="7"/>
  <c r="G39" i="7"/>
  <c r="F39" i="7"/>
  <c r="M39" i="7"/>
  <c r="J9" i="7"/>
  <c r="I9" i="7"/>
  <c r="D47" i="7"/>
  <c r="M9" i="7"/>
  <c r="E10" i="7"/>
  <c r="H11" i="7"/>
  <c r="J21" i="7"/>
  <c r="I21" i="7"/>
  <c r="D59" i="7"/>
  <c r="M21" i="7"/>
  <c r="O37" i="7"/>
  <c r="F9" i="7"/>
  <c r="I10" i="7"/>
  <c r="K11" i="7"/>
  <c r="K13" i="7"/>
  <c r="M14" i="7"/>
  <c r="O15" i="7"/>
  <c r="P16" i="7"/>
  <c r="N19" i="7"/>
  <c r="M19" i="7"/>
  <c r="E19" i="7"/>
  <c r="E20" i="7"/>
  <c r="F21" i="7"/>
  <c r="L26" i="7"/>
  <c r="J26" i="7"/>
  <c r="K26" i="7"/>
  <c r="D64" i="7"/>
  <c r="H26" i="7"/>
  <c r="O26" i="7"/>
  <c r="K27" i="7"/>
  <c r="N31" i="7"/>
  <c r="L31" i="7"/>
  <c r="M31" i="7"/>
  <c r="K31" i="7"/>
  <c r="J31" i="7"/>
  <c r="E31" i="7"/>
  <c r="M32" i="7"/>
  <c r="P72" i="7"/>
  <c r="O72" i="7"/>
  <c r="N72" i="7"/>
  <c r="M72" i="7"/>
  <c r="L72" i="7"/>
  <c r="G72" i="7"/>
  <c r="F72" i="7"/>
  <c r="L39" i="7"/>
  <c r="M50" i="7"/>
  <c r="J66" i="7"/>
  <c r="G68" i="7"/>
  <c r="J72" i="7"/>
  <c r="G74" i="7"/>
  <c r="J78" i="7"/>
  <c r="P67" i="7"/>
  <c r="P73" i="7"/>
  <c r="G12" i="7"/>
  <c r="G18" i="7"/>
  <c r="K22" i="7"/>
  <c r="I23" i="7"/>
  <c r="G24" i="7"/>
  <c r="K28" i="7"/>
  <c r="I29" i="7"/>
  <c r="G30" i="7"/>
  <c r="K34" i="7"/>
  <c r="I35" i="7"/>
  <c r="G36" i="7"/>
  <c r="K40" i="7"/>
  <c r="E67" i="7"/>
  <c r="E73" i="7"/>
  <c r="P22" i="7"/>
  <c r="N23" i="7"/>
  <c r="P28" i="7"/>
  <c r="N29" i="7"/>
  <c r="P34" i="7"/>
  <c r="N35" i="7"/>
  <c r="P40" i="7"/>
  <c r="J67" i="7"/>
  <c r="J73" i="7"/>
  <c r="O35" i="7"/>
  <c r="E40" i="7"/>
  <c r="K67" i="7"/>
  <c r="K73" i="7"/>
  <c r="P23" i="7"/>
  <c r="P35" i="7"/>
  <c r="F40" i="7"/>
  <c r="L67" i="7"/>
  <c r="L73" i="7"/>
  <c r="P29" i="7"/>
  <c r="O12" i="7"/>
  <c r="O18" i="7"/>
  <c r="G22" i="7"/>
  <c r="E23" i="7"/>
  <c r="O24" i="7"/>
  <c r="G28" i="7"/>
  <c r="E29" i="7"/>
  <c r="O30" i="7"/>
  <c r="G34" i="7"/>
  <c r="E35" i="7"/>
  <c r="O36" i="7"/>
  <c r="G40" i="7"/>
  <c r="M67" i="7"/>
  <c r="M73" i="7"/>
  <c r="H22" i="7"/>
  <c r="H28" i="7"/>
  <c r="H34" i="7"/>
  <c r="H40" i="7"/>
  <c r="L62" i="7" l="1"/>
  <c r="P55" i="7"/>
  <c r="E74" i="7"/>
  <c r="M74" i="7"/>
  <c r="P62" i="7"/>
  <c r="E68" i="7"/>
  <c r="M68" i="7"/>
  <c r="E62" i="7"/>
  <c r="M62" i="7"/>
  <c r="I55" i="7"/>
  <c r="E55" i="7"/>
  <c r="O55" i="7"/>
  <c r="G55" i="7"/>
  <c r="N62" i="7"/>
  <c r="J55" i="7"/>
  <c r="O62" i="7"/>
  <c r="K55" i="7"/>
  <c r="H55" i="7"/>
  <c r="H62" i="7"/>
  <c r="L55" i="7"/>
  <c r="G56" i="7"/>
  <c r="P56" i="7"/>
  <c r="N56" i="7"/>
  <c r="M56" i="7"/>
  <c r="I62" i="7"/>
  <c r="M55" i="7"/>
  <c r="J62" i="7"/>
  <c r="F55" i="7"/>
  <c r="P61" i="7"/>
  <c r="O61" i="7"/>
  <c r="I61" i="7"/>
  <c r="F59" i="7"/>
  <c r="E59" i="7"/>
  <c r="P59" i="7"/>
  <c r="O59" i="7"/>
  <c r="N59" i="7"/>
  <c r="I59" i="7"/>
  <c r="G59" i="7"/>
  <c r="L59" i="7"/>
  <c r="H59" i="7"/>
  <c r="M59" i="7"/>
  <c r="K59" i="7"/>
  <c r="J59" i="7"/>
  <c r="F71" i="7"/>
  <c r="E71" i="7"/>
  <c r="P71" i="7"/>
  <c r="O71" i="7"/>
  <c r="N71" i="7"/>
  <c r="I71" i="7"/>
  <c r="H71" i="7"/>
  <c r="M71" i="7"/>
  <c r="L71" i="7"/>
  <c r="G71" i="7"/>
  <c r="K71" i="7"/>
  <c r="J71" i="7"/>
  <c r="N49" i="7"/>
  <c r="M49" i="7"/>
  <c r="L49" i="7"/>
  <c r="K49" i="7"/>
  <c r="J49" i="7"/>
  <c r="E49" i="7"/>
  <c r="P49" i="7"/>
  <c r="O49" i="7"/>
  <c r="H49" i="7"/>
  <c r="G49" i="7"/>
  <c r="F49" i="7"/>
  <c r="I49" i="7"/>
  <c r="J51" i="7"/>
  <c r="I51" i="7"/>
  <c r="H51" i="7"/>
  <c r="G51" i="7"/>
  <c r="F51" i="7"/>
  <c r="M51" i="7"/>
  <c r="N51" i="7"/>
  <c r="L51" i="7"/>
  <c r="O51" i="7"/>
  <c r="E51" i="7"/>
  <c r="P51" i="7"/>
  <c r="K51" i="7"/>
  <c r="H64" i="7"/>
  <c r="G64" i="7"/>
  <c r="F64" i="7"/>
  <c r="E64" i="7"/>
  <c r="P64" i="7"/>
  <c r="K64" i="7"/>
  <c r="J64" i="7"/>
  <c r="L64" i="7"/>
  <c r="I64" i="7"/>
  <c r="O64" i="7"/>
  <c r="N64" i="7"/>
  <c r="M64" i="7"/>
  <c r="F47" i="7"/>
  <c r="E47" i="7"/>
  <c r="P47" i="7"/>
  <c r="O47" i="7"/>
  <c r="N47" i="7"/>
  <c r="I47" i="7"/>
  <c r="G47" i="7"/>
  <c r="L47" i="7"/>
  <c r="H47" i="7"/>
  <c r="M47" i="7"/>
  <c r="K47" i="7"/>
  <c r="J47" i="7"/>
  <c r="H52" i="7"/>
  <c r="G52" i="7"/>
  <c r="F52" i="7"/>
  <c r="E52" i="7"/>
  <c r="P52" i="7"/>
  <c r="K52" i="7"/>
  <c r="I52" i="7"/>
  <c r="N52" i="7"/>
  <c r="M52" i="7"/>
  <c r="L52" i="7"/>
  <c r="J52" i="7"/>
  <c r="O52" i="7"/>
  <c r="J63" i="7"/>
  <c r="I63" i="7"/>
  <c r="H63" i="7"/>
  <c r="G63" i="7"/>
  <c r="F63" i="7"/>
  <c r="M63" i="7"/>
  <c r="L63" i="7"/>
  <c r="O63" i="7"/>
  <c r="N63" i="7"/>
  <c r="P63" i="7"/>
  <c r="K63" i="7"/>
  <c r="E63" i="7"/>
  <c r="H70" i="7"/>
  <c r="G70" i="7"/>
  <c r="F70" i="7"/>
  <c r="E70" i="7"/>
  <c r="P70" i="7"/>
  <c r="K70" i="7"/>
  <c r="J70" i="7"/>
  <c r="L70" i="7"/>
  <c r="I70" i="7"/>
  <c r="O70" i="7"/>
  <c r="N70" i="7"/>
  <c r="M70" i="7"/>
  <c r="F77" i="7"/>
  <c r="E77" i="7"/>
  <c r="P77" i="7"/>
  <c r="O77" i="7"/>
  <c r="N77" i="7"/>
  <c r="I77" i="7"/>
  <c r="H77" i="7"/>
  <c r="M77" i="7"/>
  <c r="L77" i="7"/>
  <c r="G77" i="7"/>
  <c r="K77" i="7"/>
  <c r="J77" i="7"/>
  <c r="H58" i="7"/>
  <c r="G58" i="7"/>
  <c r="F58" i="7"/>
  <c r="E58" i="7"/>
  <c r="P58" i="7"/>
  <c r="K58" i="7"/>
  <c r="L58" i="7"/>
  <c r="O58" i="7"/>
  <c r="M58" i="7"/>
  <c r="J58" i="7"/>
  <c r="N58" i="7"/>
  <c r="I58" i="7"/>
  <c r="F65" i="7"/>
  <c r="E65" i="7"/>
  <c r="P65" i="7"/>
  <c r="O65" i="7"/>
  <c r="N65" i="7"/>
  <c r="I65" i="7"/>
  <c r="H65" i="7"/>
  <c r="M65" i="7"/>
  <c r="L65" i="7"/>
  <c r="G65" i="7"/>
  <c r="J65" i="7"/>
  <c r="K65" i="7"/>
  <c r="H76" i="7"/>
  <c r="G76" i="7"/>
  <c r="F76" i="7"/>
  <c r="E76" i="7"/>
  <c r="P76" i="7"/>
  <c r="K76" i="7"/>
  <c r="J76" i="7"/>
  <c r="L76" i="7"/>
  <c r="I76" i="7"/>
  <c r="M76" i="7"/>
  <c r="O76" i="7"/>
  <c r="N76" i="7"/>
  <c r="P54" i="7"/>
  <c r="O54" i="7"/>
  <c r="N54" i="7"/>
  <c r="M54" i="7"/>
  <c r="L54" i="7"/>
  <c r="G54" i="7"/>
  <c r="E54" i="7"/>
  <c r="J54" i="7"/>
  <c r="F54" i="7"/>
  <c r="I54" i="7"/>
  <c r="H54" i="7"/>
  <c r="K54" i="7"/>
  <c r="F53" i="7"/>
  <c r="E53" i="7"/>
  <c r="P53" i="7"/>
  <c r="O53" i="7"/>
  <c r="N53" i="7"/>
  <c r="I53" i="7"/>
  <c r="J53" i="7"/>
  <c r="M53" i="7"/>
  <c r="K53" i="7"/>
  <c r="L53" i="7"/>
  <c r="H53" i="7"/>
  <c r="G53" i="7"/>
  <c r="P48" i="7"/>
  <c r="O48" i="7"/>
  <c r="N48" i="7"/>
  <c r="M48" i="7"/>
  <c r="L48" i="7"/>
  <c r="G48" i="7"/>
  <c r="H48" i="7"/>
  <c r="K48" i="7"/>
  <c r="I48" i="7"/>
  <c r="J48" i="7"/>
  <c r="F48" i="7"/>
  <c r="E48" i="7"/>
  <c r="B76" i="6" l="1"/>
  <c r="J72" i="6"/>
  <c r="B55" i="6"/>
  <c r="L40" i="6"/>
  <c r="D40" i="6"/>
  <c r="D78" i="6" s="1"/>
  <c r="H78" i="6" s="1"/>
  <c r="B40" i="6"/>
  <c r="B78" i="6" s="1"/>
  <c r="D39" i="6"/>
  <c r="P39" i="6" s="1"/>
  <c r="B39" i="6"/>
  <c r="B77" i="6" s="1"/>
  <c r="M38" i="6"/>
  <c r="G38" i="6"/>
  <c r="D38" i="6"/>
  <c r="P38" i="6" s="1"/>
  <c r="B38" i="6"/>
  <c r="O37" i="6"/>
  <c r="K37" i="6"/>
  <c r="J37" i="6"/>
  <c r="I37" i="6"/>
  <c r="F37" i="6"/>
  <c r="E37" i="6"/>
  <c r="D37" i="6"/>
  <c r="N37" i="6" s="1"/>
  <c r="B37" i="6"/>
  <c r="B75" i="6" s="1"/>
  <c r="M36" i="6"/>
  <c r="K36" i="6"/>
  <c r="I36" i="6"/>
  <c r="F36" i="6"/>
  <c r="E36" i="6"/>
  <c r="D36" i="6"/>
  <c r="P36" i="6" s="1"/>
  <c r="B36" i="6"/>
  <c r="B74" i="6" s="1"/>
  <c r="N35" i="6"/>
  <c r="L35" i="6"/>
  <c r="J35" i="6"/>
  <c r="G35" i="6"/>
  <c r="E35" i="6"/>
  <c r="D35" i="6"/>
  <c r="F35" i="6" s="1"/>
  <c r="B35" i="6"/>
  <c r="B73" i="6" s="1"/>
  <c r="N34" i="6"/>
  <c r="D34" i="6"/>
  <c r="D72" i="6" s="1"/>
  <c r="K72" i="6" s="1"/>
  <c r="B34" i="6"/>
  <c r="B72" i="6" s="1"/>
  <c r="O33" i="6"/>
  <c r="N33" i="6"/>
  <c r="K33" i="6"/>
  <c r="D33" i="6"/>
  <c r="P33" i="6" s="1"/>
  <c r="B33" i="6"/>
  <c r="B71" i="6" s="1"/>
  <c r="D32" i="6"/>
  <c r="E32" i="6" s="1"/>
  <c r="B32" i="6"/>
  <c r="B70" i="6" s="1"/>
  <c r="O31" i="6"/>
  <c r="M31" i="6"/>
  <c r="K31" i="6"/>
  <c r="J31" i="6"/>
  <c r="H31" i="6"/>
  <c r="G31" i="6"/>
  <c r="F31" i="6"/>
  <c r="E31" i="6"/>
  <c r="D31" i="6"/>
  <c r="N31" i="6" s="1"/>
  <c r="B31" i="6"/>
  <c r="B69" i="6" s="1"/>
  <c r="M30" i="6"/>
  <c r="L30" i="6"/>
  <c r="K30" i="6"/>
  <c r="H30" i="6"/>
  <c r="G30" i="6"/>
  <c r="F30" i="6"/>
  <c r="D30" i="6"/>
  <c r="P30" i="6" s="1"/>
  <c r="B30" i="6"/>
  <c r="B68" i="6" s="1"/>
  <c r="N29" i="6"/>
  <c r="M29" i="6"/>
  <c r="L29" i="6"/>
  <c r="I29" i="6"/>
  <c r="H29" i="6"/>
  <c r="G29" i="6"/>
  <c r="D29" i="6"/>
  <c r="F29" i="6" s="1"/>
  <c r="B29" i="6"/>
  <c r="B67" i="6" s="1"/>
  <c r="O28" i="6"/>
  <c r="N28" i="6"/>
  <c r="M28" i="6"/>
  <c r="L28" i="6"/>
  <c r="I28" i="6"/>
  <c r="D28" i="6"/>
  <c r="D66" i="6" s="1"/>
  <c r="H66" i="6" s="1"/>
  <c r="B28" i="6"/>
  <c r="B66" i="6" s="1"/>
  <c r="D27" i="6"/>
  <c r="B27" i="6"/>
  <c r="B65" i="6" s="1"/>
  <c r="D26" i="6"/>
  <c r="P26" i="6" s="1"/>
  <c r="B26" i="6"/>
  <c r="B64" i="6" s="1"/>
  <c r="O25" i="6"/>
  <c r="I25" i="6"/>
  <c r="E25" i="6"/>
  <c r="D25" i="6"/>
  <c r="N25" i="6" s="1"/>
  <c r="B25" i="6"/>
  <c r="B63" i="6" s="1"/>
  <c r="M24" i="6"/>
  <c r="E24" i="6"/>
  <c r="D24" i="6"/>
  <c r="P24" i="6" s="1"/>
  <c r="B24" i="6"/>
  <c r="B62" i="6" s="1"/>
  <c r="N23" i="6"/>
  <c r="E23" i="6"/>
  <c r="D23" i="6"/>
  <c r="F23" i="6" s="1"/>
  <c r="B23" i="6"/>
  <c r="B61" i="6" s="1"/>
  <c r="O22" i="6"/>
  <c r="N22" i="6"/>
  <c r="L22" i="6"/>
  <c r="K22" i="6"/>
  <c r="I22" i="6"/>
  <c r="D22" i="6"/>
  <c r="D60" i="6" s="1"/>
  <c r="I60" i="6" s="1"/>
  <c r="B22" i="6"/>
  <c r="B60" i="6" s="1"/>
  <c r="D21" i="6"/>
  <c r="P21" i="6" s="1"/>
  <c r="B21" i="6"/>
  <c r="B59" i="6" s="1"/>
  <c r="P20" i="6"/>
  <c r="M20" i="6"/>
  <c r="G20" i="6"/>
  <c r="F20" i="6"/>
  <c r="D20" i="6"/>
  <c r="B20" i="6"/>
  <c r="B58" i="6" s="1"/>
  <c r="D19" i="6"/>
  <c r="N19" i="6" s="1"/>
  <c r="B19" i="6"/>
  <c r="B57" i="6" s="1"/>
  <c r="D18" i="6"/>
  <c r="P18" i="6" s="1"/>
  <c r="B18" i="6"/>
  <c r="B56" i="6" s="1"/>
  <c r="D17" i="6"/>
  <c r="F17" i="6" s="1"/>
  <c r="B17" i="6"/>
  <c r="D16" i="6"/>
  <c r="D54" i="6" s="1"/>
  <c r="H54" i="6" s="1"/>
  <c r="B16" i="6"/>
  <c r="B54" i="6" s="1"/>
  <c r="D15" i="6"/>
  <c r="O15" i="6" s="1"/>
  <c r="B15" i="6"/>
  <c r="B53" i="6" s="1"/>
  <c r="D14" i="6"/>
  <c r="P14" i="6" s="1"/>
  <c r="B14" i="6"/>
  <c r="B52" i="6" s="1"/>
  <c r="D13" i="6"/>
  <c r="N13" i="6" s="1"/>
  <c r="B13" i="6"/>
  <c r="B51" i="6" s="1"/>
  <c r="D12" i="6"/>
  <c r="P12" i="6" s="1"/>
  <c r="B12" i="6"/>
  <c r="B50" i="6" s="1"/>
  <c r="D11" i="6"/>
  <c r="F11" i="6" s="1"/>
  <c r="B11" i="6"/>
  <c r="B49" i="6" s="1"/>
  <c r="D10" i="6"/>
  <c r="D48" i="6" s="1"/>
  <c r="E48" i="6" s="1"/>
  <c r="B10" i="6"/>
  <c r="B48" i="6" s="1"/>
  <c r="N9" i="6"/>
  <c r="K9" i="6"/>
  <c r="D9" i="6"/>
  <c r="M9" i="6" s="1"/>
  <c r="B9" i="6"/>
  <c r="B47" i="6" s="1"/>
  <c r="B2" i="6"/>
  <c r="E17" i="6" l="1"/>
  <c r="E18" i="6"/>
  <c r="E19" i="6"/>
  <c r="O23" i="6"/>
  <c r="O24" i="6"/>
  <c r="O34" i="6"/>
  <c r="O35" i="6"/>
  <c r="O36" i="6"/>
  <c r="M40" i="6"/>
  <c r="D62" i="6"/>
  <c r="O9" i="6"/>
  <c r="E11" i="6"/>
  <c r="E12" i="6"/>
  <c r="E13" i="6"/>
  <c r="P9" i="6"/>
  <c r="G11" i="6"/>
  <c r="F12" i="6"/>
  <c r="F13" i="6"/>
  <c r="P15" i="6"/>
  <c r="G17" i="6"/>
  <c r="F18" i="6"/>
  <c r="F19" i="6"/>
  <c r="E29" i="6"/>
  <c r="E30" i="6"/>
  <c r="N40" i="6"/>
  <c r="D51" i="6"/>
  <c r="P51" i="6" s="1"/>
  <c r="H72" i="6"/>
  <c r="H11" i="6"/>
  <c r="G12" i="6"/>
  <c r="G13" i="6"/>
  <c r="H17" i="6"/>
  <c r="G18" i="6"/>
  <c r="G19" i="6"/>
  <c r="F38" i="6"/>
  <c r="O40" i="6"/>
  <c r="I72" i="6"/>
  <c r="H12" i="6"/>
  <c r="I10" i="6"/>
  <c r="J11" i="6"/>
  <c r="I12" i="6"/>
  <c r="I13" i="6"/>
  <c r="I16" i="6"/>
  <c r="J17" i="6"/>
  <c r="I18" i="6"/>
  <c r="I19" i="6"/>
  <c r="I48" i="6"/>
  <c r="D63" i="6"/>
  <c r="P63" i="6" s="1"/>
  <c r="K10" i="6"/>
  <c r="K11" i="6"/>
  <c r="J12" i="6"/>
  <c r="J13" i="6"/>
  <c r="K16" i="6"/>
  <c r="K17" i="6"/>
  <c r="J18" i="6"/>
  <c r="J19" i="6"/>
  <c r="H23" i="6"/>
  <c r="G24" i="6"/>
  <c r="G25" i="6"/>
  <c r="J29" i="6"/>
  <c r="I30" i="6"/>
  <c r="I31" i="6"/>
  <c r="H35" i="6"/>
  <c r="G36" i="6"/>
  <c r="G37" i="6"/>
  <c r="J48" i="6"/>
  <c r="D56" i="6"/>
  <c r="P56" i="6" s="1"/>
  <c r="I17" i="6"/>
  <c r="K54" i="6"/>
  <c r="G23" i="6"/>
  <c r="F24" i="6"/>
  <c r="F25" i="6"/>
  <c r="L10" i="6"/>
  <c r="L11" i="6"/>
  <c r="K12" i="6"/>
  <c r="K13" i="6"/>
  <c r="L16" i="6"/>
  <c r="L17" i="6"/>
  <c r="K18" i="6"/>
  <c r="K19" i="6"/>
  <c r="I23" i="6"/>
  <c r="H24" i="6"/>
  <c r="H25" i="6"/>
  <c r="K29" i="6"/>
  <c r="J30" i="6"/>
  <c r="I35" i="6"/>
  <c r="H36" i="6"/>
  <c r="H37" i="6"/>
  <c r="K48" i="6"/>
  <c r="D57" i="6"/>
  <c r="P57" i="6" s="1"/>
  <c r="D74" i="6"/>
  <c r="I11" i="6"/>
  <c r="D68" i="6"/>
  <c r="M68" i="6" s="1"/>
  <c r="H13" i="6"/>
  <c r="H18" i="6"/>
  <c r="M10" i="6"/>
  <c r="L12" i="6"/>
  <c r="M16" i="6"/>
  <c r="M19" i="6"/>
  <c r="N10" i="6"/>
  <c r="N11" i="6"/>
  <c r="M12" i="6"/>
  <c r="O13" i="6"/>
  <c r="N16" i="6"/>
  <c r="N17" i="6"/>
  <c r="M18" i="6"/>
  <c r="O19" i="6"/>
  <c r="K23" i="6"/>
  <c r="J24" i="6"/>
  <c r="J25" i="6"/>
  <c r="I34" i="6"/>
  <c r="K35" i="6"/>
  <c r="J36" i="6"/>
  <c r="D50" i="6"/>
  <c r="H60" i="6"/>
  <c r="D69" i="6"/>
  <c r="H48" i="6"/>
  <c r="M11" i="6"/>
  <c r="M13" i="6"/>
  <c r="M17" i="6"/>
  <c r="L18" i="6"/>
  <c r="J23" i="6"/>
  <c r="O10" i="6"/>
  <c r="O12" i="6"/>
  <c r="O16" i="6"/>
  <c r="O17" i="6"/>
  <c r="O18" i="6"/>
  <c r="L34" i="6"/>
  <c r="H19" i="6"/>
  <c r="I24" i="6"/>
  <c r="O11" i="6"/>
  <c r="L23" i="6"/>
  <c r="K24" i="6"/>
  <c r="K25" i="6"/>
  <c r="M22" i="6"/>
  <c r="M23" i="6"/>
  <c r="L24" i="6"/>
  <c r="M25" i="6"/>
  <c r="O29" i="6"/>
  <c r="O30" i="6"/>
  <c r="M34" i="6"/>
  <c r="M35" i="6"/>
  <c r="L36" i="6"/>
  <c r="M37" i="6"/>
  <c r="I40" i="6"/>
  <c r="D75" i="6"/>
  <c r="E75" i="6" s="1"/>
  <c r="E57" i="6"/>
  <c r="O57" i="6"/>
  <c r="J9" i="6"/>
  <c r="I9" i="6"/>
  <c r="D47" i="6"/>
  <c r="H9" i="6"/>
  <c r="G9" i="6"/>
  <c r="F9" i="6"/>
  <c r="L9" i="6"/>
  <c r="K15" i="6"/>
  <c r="L20" i="6"/>
  <c r="K20" i="6"/>
  <c r="J20" i="6"/>
  <c r="I20" i="6"/>
  <c r="D58" i="6"/>
  <c r="H20" i="6"/>
  <c r="O20" i="6"/>
  <c r="N20" i="6"/>
  <c r="G26" i="6"/>
  <c r="J33" i="6"/>
  <c r="I33" i="6"/>
  <c r="D71" i="6"/>
  <c r="H33" i="6"/>
  <c r="G33" i="6"/>
  <c r="F33" i="6"/>
  <c r="M33" i="6"/>
  <c r="L33" i="6"/>
  <c r="O39" i="6"/>
  <c r="O51" i="6"/>
  <c r="G56" i="6"/>
  <c r="J66" i="6"/>
  <c r="L74" i="6"/>
  <c r="K74" i="6"/>
  <c r="J74" i="6"/>
  <c r="I74" i="6"/>
  <c r="H74" i="6"/>
  <c r="O74" i="6"/>
  <c r="N74" i="6"/>
  <c r="M74" i="6"/>
  <c r="J27" i="6"/>
  <c r="I27" i="6"/>
  <c r="D65" i="6"/>
  <c r="H27" i="6"/>
  <c r="G27" i="6"/>
  <c r="F27" i="6"/>
  <c r="M27" i="6"/>
  <c r="L27" i="6"/>
  <c r="P54" i="6"/>
  <c r="O54" i="6"/>
  <c r="N54" i="6"/>
  <c r="M54" i="6"/>
  <c r="L54" i="6"/>
  <c r="G54" i="6"/>
  <c r="F54" i="6"/>
  <c r="E54" i="6"/>
  <c r="G14" i="6"/>
  <c r="E9" i="6"/>
  <c r="N15" i="6"/>
  <c r="E20" i="6"/>
  <c r="M26" i="6"/>
  <c r="E33" i="6"/>
  <c r="L38" i="6"/>
  <c r="K38" i="6"/>
  <c r="J38" i="6"/>
  <c r="I38" i="6"/>
  <c r="D76" i="6"/>
  <c r="H38" i="6"/>
  <c r="O38" i="6"/>
  <c r="N38" i="6"/>
  <c r="L50" i="6"/>
  <c r="K50" i="6"/>
  <c r="J50" i="6"/>
  <c r="I50" i="6"/>
  <c r="H50" i="6"/>
  <c r="O50" i="6"/>
  <c r="N50" i="6"/>
  <c r="I54" i="6"/>
  <c r="K66" i="6"/>
  <c r="J69" i="6"/>
  <c r="I69" i="6"/>
  <c r="H69" i="6"/>
  <c r="G69" i="6"/>
  <c r="F69" i="6"/>
  <c r="M69" i="6"/>
  <c r="L69" i="6"/>
  <c r="K69" i="6"/>
  <c r="E74" i="6"/>
  <c r="E27" i="6"/>
  <c r="L32" i="6"/>
  <c r="K32" i="6"/>
  <c r="J32" i="6"/>
  <c r="I32" i="6"/>
  <c r="D70" i="6"/>
  <c r="H32" i="6"/>
  <c r="O32" i="6"/>
  <c r="N32" i="6"/>
  <c r="P60" i="6"/>
  <c r="O60" i="6"/>
  <c r="N60" i="6"/>
  <c r="M60" i="6"/>
  <c r="L60" i="6"/>
  <c r="G60" i="6"/>
  <c r="F60" i="6"/>
  <c r="E60" i="6"/>
  <c r="E38" i="6"/>
  <c r="E50" i="6"/>
  <c r="J54" i="6"/>
  <c r="L62" i="6"/>
  <c r="K62" i="6"/>
  <c r="J62" i="6"/>
  <c r="I62" i="6"/>
  <c r="H62" i="6"/>
  <c r="O62" i="6"/>
  <c r="N62" i="6"/>
  <c r="M62" i="6"/>
  <c r="E69" i="6"/>
  <c r="F74" i="6"/>
  <c r="M14" i="6"/>
  <c r="J21" i="6"/>
  <c r="I21" i="6"/>
  <c r="D59" i="6"/>
  <c r="H21" i="6"/>
  <c r="G21" i="6"/>
  <c r="F21" i="6"/>
  <c r="M21" i="6"/>
  <c r="L21" i="6"/>
  <c r="N27" i="6"/>
  <c r="F32" i="6"/>
  <c r="P72" i="6"/>
  <c r="O72" i="6"/>
  <c r="N72" i="6"/>
  <c r="M72" i="6"/>
  <c r="L72" i="6"/>
  <c r="G72" i="6"/>
  <c r="F72" i="6"/>
  <c r="E72" i="6"/>
  <c r="J60" i="6"/>
  <c r="K68" i="6"/>
  <c r="J68" i="6"/>
  <c r="N68" i="6"/>
  <c r="J57" i="6"/>
  <c r="I57" i="6"/>
  <c r="H57" i="6"/>
  <c r="G57" i="6"/>
  <c r="F57" i="6"/>
  <c r="M57" i="6"/>
  <c r="L57" i="6"/>
  <c r="K57" i="6"/>
  <c r="E14" i="6"/>
  <c r="K27" i="6"/>
  <c r="J75" i="6"/>
  <c r="K75" i="6"/>
  <c r="E21" i="6"/>
  <c r="O27" i="6"/>
  <c r="G32" i="6"/>
  <c r="J39" i="6"/>
  <c r="I39" i="6"/>
  <c r="D77" i="6"/>
  <c r="H39" i="6"/>
  <c r="G39" i="6"/>
  <c r="F39" i="6"/>
  <c r="M39" i="6"/>
  <c r="L39" i="6"/>
  <c r="J51" i="6"/>
  <c r="I51" i="6"/>
  <c r="H51" i="6"/>
  <c r="G51" i="6"/>
  <c r="F51" i="6"/>
  <c r="M51" i="6"/>
  <c r="L51" i="6"/>
  <c r="K60" i="6"/>
  <c r="J63" i="6"/>
  <c r="I63" i="6"/>
  <c r="H63" i="6"/>
  <c r="G63" i="6"/>
  <c r="F63" i="6"/>
  <c r="M63" i="6"/>
  <c r="L63" i="6"/>
  <c r="K63" i="6"/>
  <c r="N75" i="6"/>
  <c r="L14" i="6"/>
  <c r="K14" i="6"/>
  <c r="J14" i="6"/>
  <c r="I14" i="6"/>
  <c r="D52" i="6"/>
  <c r="H14" i="6"/>
  <c r="O14" i="6"/>
  <c r="N14" i="6"/>
  <c r="P78" i="6"/>
  <c r="O78" i="6"/>
  <c r="N78" i="6"/>
  <c r="M78" i="6"/>
  <c r="L78" i="6"/>
  <c r="G78" i="6"/>
  <c r="F78" i="6"/>
  <c r="E78" i="6"/>
  <c r="K21" i="6"/>
  <c r="L26" i="6"/>
  <c r="K26" i="6"/>
  <c r="J26" i="6"/>
  <c r="I26" i="6"/>
  <c r="D64" i="6"/>
  <c r="H26" i="6"/>
  <c r="O26" i="6"/>
  <c r="N26" i="6"/>
  <c r="P27" i="6"/>
  <c r="M32" i="6"/>
  <c r="E39" i="6"/>
  <c r="E51" i="6"/>
  <c r="L56" i="6"/>
  <c r="K56" i="6"/>
  <c r="J56" i="6"/>
  <c r="I56" i="6"/>
  <c r="H56" i="6"/>
  <c r="O56" i="6"/>
  <c r="N56" i="6"/>
  <c r="M56" i="6"/>
  <c r="E63" i="6"/>
  <c r="I78" i="6"/>
  <c r="P48" i="6"/>
  <c r="O48" i="6"/>
  <c r="N48" i="6"/>
  <c r="M48" i="6"/>
  <c r="L48" i="6"/>
  <c r="G48" i="6"/>
  <c r="F48" i="6"/>
  <c r="J15" i="6"/>
  <c r="F15" i="6"/>
  <c r="I15" i="6"/>
  <c r="D53" i="6"/>
  <c r="H15" i="6"/>
  <c r="G15" i="6"/>
  <c r="M15" i="6"/>
  <c r="L15" i="6"/>
  <c r="N21" i="6"/>
  <c r="E26" i="6"/>
  <c r="P32" i="6"/>
  <c r="K39" i="6"/>
  <c r="K51" i="6"/>
  <c r="E56" i="6"/>
  <c r="N63" i="6"/>
  <c r="J78" i="6"/>
  <c r="F14" i="6"/>
  <c r="N57" i="6"/>
  <c r="E15" i="6"/>
  <c r="O21" i="6"/>
  <c r="F26" i="6"/>
  <c r="P66" i="6"/>
  <c r="O66" i="6"/>
  <c r="N66" i="6"/>
  <c r="M66" i="6"/>
  <c r="L66" i="6"/>
  <c r="G66" i="6"/>
  <c r="F66" i="6"/>
  <c r="E66" i="6"/>
  <c r="N39" i="6"/>
  <c r="N51" i="6"/>
  <c r="F56" i="6"/>
  <c r="O63" i="6"/>
  <c r="I66" i="6"/>
  <c r="K78" i="6"/>
  <c r="J10" i="6"/>
  <c r="P13" i="6"/>
  <c r="J16" i="6"/>
  <c r="P19" i="6"/>
  <c r="J22" i="6"/>
  <c r="P25" i="6"/>
  <c r="J28" i="6"/>
  <c r="P31" i="6"/>
  <c r="J34" i="6"/>
  <c r="P37" i="6"/>
  <c r="J40" i="6"/>
  <c r="D49" i="6"/>
  <c r="D55" i="6"/>
  <c r="D61" i="6"/>
  <c r="D67" i="6"/>
  <c r="D73" i="6"/>
  <c r="K28" i="6"/>
  <c r="K34" i="6"/>
  <c r="K40" i="6"/>
  <c r="P16" i="6"/>
  <c r="P22" i="6"/>
  <c r="P28" i="6"/>
  <c r="P34" i="6"/>
  <c r="P40" i="6"/>
  <c r="E34" i="6"/>
  <c r="E40" i="6"/>
  <c r="P10" i="6"/>
  <c r="E10" i="6"/>
  <c r="E16" i="6"/>
  <c r="E22" i="6"/>
  <c r="E28" i="6"/>
  <c r="F10" i="6"/>
  <c r="P11" i="6"/>
  <c r="N12" i="6"/>
  <c r="L13" i="6"/>
  <c r="F16" i="6"/>
  <c r="P17" i="6"/>
  <c r="N18" i="6"/>
  <c r="L19" i="6"/>
  <c r="F22" i="6"/>
  <c r="P23" i="6"/>
  <c r="N24" i="6"/>
  <c r="L25" i="6"/>
  <c r="F28" i="6"/>
  <c r="P29" i="6"/>
  <c r="N30" i="6"/>
  <c r="L31" i="6"/>
  <c r="F34" i="6"/>
  <c r="P35" i="6"/>
  <c r="N36" i="6"/>
  <c r="L37" i="6"/>
  <c r="F40" i="6"/>
  <c r="G10" i="6"/>
  <c r="G16" i="6"/>
  <c r="G40" i="6"/>
  <c r="G22" i="6"/>
  <c r="G28" i="6"/>
  <c r="G34" i="6"/>
  <c r="H10" i="6"/>
  <c r="H16" i="6"/>
  <c r="H22" i="6"/>
  <c r="H28" i="6"/>
  <c r="H34" i="6"/>
  <c r="H40" i="6"/>
  <c r="E68" i="6" l="1"/>
  <c r="O68" i="6"/>
  <c r="H68" i="6"/>
  <c r="I68" i="6"/>
  <c r="P62" i="6"/>
  <c r="G62" i="6"/>
  <c r="F62" i="6"/>
  <c r="E62" i="6"/>
  <c r="L75" i="6"/>
  <c r="L68" i="6"/>
  <c r="O69" i="6"/>
  <c r="N69" i="6"/>
  <c r="P69" i="6"/>
  <c r="P75" i="6"/>
  <c r="M75" i="6"/>
  <c r="P74" i="6"/>
  <c r="G74" i="6"/>
  <c r="G68" i="6"/>
  <c r="O75" i="6"/>
  <c r="F75" i="6"/>
  <c r="G50" i="6"/>
  <c r="F50" i="6"/>
  <c r="M50" i="6"/>
  <c r="P50" i="6"/>
  <c r="F68" i="6"/>
  <c r="G75" i="6"/>
  <c r="H75" i="6"/>
  <c r="P68" i="6"/>
  <c r="I75" i="6"/>
  <c r="F53" i="6"/>
  <c r="E53" i="6"/>
  <c r="P53" i="6"/>
  <c r="O53" i="6"/>
  <c r="N53" i="6"/>
  <c r="I53" i="6"/>
  <c r="H53" i="6"/>
  <c r="G53" i="6"/>
  <c r="M53" i="6"/>
  <c r="L53" i="6"/>
  <c r="K53" i="6"/>
  <c r="J53" i="6"/>
  <c r="H70" i="6"/>
  <c r="G70" i="6"/>
  <c r="F70" i="6"/>
  <c r="E70" i="6"/>
  <c r="P70" i="6"/>
  <c r="K70" i="6"/>
  <c r="J70" i="6"/>
  <c r="I70" i="6"/>
  <c r="O70" i="6"/>
  <c r="N70" i="6"/>
  <c r="M70" i="6"/>
  <c r="L70" i="6"/>
  <c r="H64" i="6"/>
  <c r="G64" i="6"/>
  <c r="F64" i="6"/>
  <c r="E64" i="6"/>
  <c r="P64" i="6"/>
  <c r="K64" i="6"/>
  <c r="J64" i="6"/>
  <c r="I64" i="6"/>
  <c r="M64" i="6"/>
  <c r="O64" i="6"/>
  <c r="N64" i="6"/>
  <c r="L64" i="6"/>
  <c r="F71" i="6"/>
  <c r="E71" i="6"/>
  <c r="P71" i="6"/>
  <c r="O71" i="6"/>
  <c r="N71" i="6"/>
  <c r="I71" i="6"/>
  <c r="H71" i="6"/>
  <c r="G71" i="6"/>
  <c r="J71" i="6"/>
  <c r="M71" i="6"/>
  <c r="L71" i="6"/>
  <c r="K71" i="6"/>
  <c r="N73" i="6"/>
  <c r="M73" i="6"/>
  <c r="L73" i="6"/>
  <c r="K73" i="6"/>
  <c r="J73" i="6"/>
  <c r="E73" i="6"/>
  <c r="P73" i="6"/>
  <c r="O73" i="6"/>
  <c r="I73" i="6"/>
  <c r="H73" i="6"/>
  <c r="G73" i="6"/>
  <c r="F73" i="6"/>
  <c r="H76" i="6"/>
  <c r="G76" i="6"/>
  <c r="F76" i="6"/>
  <c r="E76" i="6"/>
  <c r="P76" i="6"/>
  <c r="K76" i="6"/>
  <c r="J76" i="6"/>
  <c r="I76" i="6"/>
  <c r="O76" i="6"/>
  <c r="N76" i="6"/>
  <c r="M76" i="6"/>
  <c r="L76" i="6"/>
  <c r="F65" i="6"/>
  <c r="E65" i="6"/>
  <c r="P65" i="6"/>
  <c r="O65" i="6"/>
  <c r="N65" i="6"/>
  <c r="I65" i="6"/>
  <c r="H65" i="6"/>
  <c r="G65" i="6"/>
  <c r="M65" i="6"/>
  <c r="L65" i="6"/>
  <c r="K65" i="6"/>
  <c r="J65" i="6"/>
  <c r="N67" i="6"/>
  <c r="M67" i="6"/>
  <c r="L67" i="6"/>
  <c r="K67" i="6"/>
  <c r="J67" i="6"/>
  <c r="E67" i="6"/>
  <c r="P67" i="6"/>
  <c r="O67" i="6"/>
  <c r="H67" i="6"/>
  <c r="F67" i="6"/>
  <c r="I67" i="6"/>
  <c r="G67" i="6"/>
  <c r="H52" i="6"/>
  <c r="G52" i="6"/>
  <c r="F52" i="6"/>
  <c r="E52" i="6"/>
  <c r="P52" i="6"/>
  <c r="K52" i="6"/>
  <c r="J52" i="6"/>
  <c r="I52" i="6"/>
  <c r="M52" i="6"/>
  <c r="O52" i="6"/>
  <c r="L52" i="6"/>
  <c r="N52" i="6"/>
  <c r="F47" i="6"/>
  <c r="E47" i="6"/>
  <c r="P47" i="6"/>
  <c r="O47" i="6"/>
  <c r="N47" i="6"/>
  <c r="I47" i="6"/>
  <c r="H47" i="6"/>
  <c r="K47" i="6"/>
  <c r="J47" i="6"/>
  <c r="G47" i="6"/>
  <c r="M47" i="6"/>
  <c r="L47" i="6"/>
  <c r="N55" i="6"/>
  <c r="M55" i="6"/>
  <c r="L55" i="6"/>
  <c r="K55" i="6"/>
  <c r="J55" i="6"/>
  <c r="E55" i="6"/>
  <c r="P55" i="6"/>
  <c r="O55" i="6"/>
  <c r="G55" i="6"/>
  <c r="I55" i="6"/>
  <c r="H55" i="6"/>
  <c r="F55" i="6"/>
  <c r="H58" i="6"/>
  <c r="G58" i="6"/>
  <c r="F58" i="6"/>
  <c r="E58" i="6"/>
  <c r="P58" i="6"/>
  <c r="K58" i="6"/>
  <c r="J58" i="6"/>
  <c r="I58" i="6"/>
  <c r="N58" i="6"/>
  <c r="M58" i="6"/>
  <c r="L58" i="6"/>
  <c r="O58" i="6"/>
  <c r="N49" i="6"/>
  <c r="M49" i="6"/>
  <c r="L49" i="6"/>
  <c r="K49" i="6"/>
  <c r="J49" i="6"/>
  <c r="E49" i="6"/>
  <c r="P49" i="6"/>
  <c r="I49" i="6"/>
  <c r="H49" i="6"/>
  <c r="G49" i="6"/>
  <c r="F49" i="6"/>
  <c r="O49" i="6"/>
  <c r="N61" i="6"/>
  <c r="M61" i="6"/>
  <c r="L61" i="6"/>
  <c r="K61" i="6"/>
  <c r="J61" i="6"/>
  <c r="E61" i="6"/>
  <c r="P61" i="6"/>
  <c r="O61" i="6"/>
  <c r="G61" i="6"/>
  <c r="F61" i="6"/>
  <c r="I61" i="6"/>
  <c r="H61" i="6"/>
  <c r="F77" i="6"/>
  <c r="E77" i="6"/>
  <c r="P77" i="6"/>
  <c r="O77" i="6"/>
  <c r="N77" i="6"/>
  <c r="I77" i="6"/>
  <c r="H77" i="6"/>
  <c r="G77" i="6"/>
  <c r="J77" i="6"/>
  <c r="M77" i="6"/>
  <c r="K77" i="6"/>
  <c r="L77" i="6"/>
  <c r="F59" i="6"/>
  <c r="E59" i="6"/>
  <c r="P59" i="6"/>
  <c r="O59" i="6"/>
  <c r="N59" i="6"/>
  <c r="I59" i="6"/>
  <c r="H59" i="6"/>
  <c r="G59" i="6"/>
  <c r="M59" i="6"/>
  <c r="L59" i="6"/>
  <c r="K59" i="6"/>
  <c r="J59" i="6"/>
  <c r="D69" i="5" l="1"/>
  <c r="O69" i="5" s="1"/>
  <c r="D68" i="5"/>
  <c r="F68" i="5" s="1"/>
  <c r="B63" i="5"/>
  <c r="D62" i="5"/>
  <c r="M62" i="5" s="1"/>
  <c r="D56" i="5"/>
  <c r="P56" i="5" s="1"/>
  <c r="D40" i="5"/>
  <c r="D78" i="5" s="1"/>
  <c r="B40" i="5"/>
  <c r="B78" i="5" s="1"/>
  <c r="D39" i="5"/>
  <c r="N39" i="5" s="1"/>
  <c r="B39" i="5"/>
  <c r="B77" i="5" s="1"/>
  <c r="D38" i="5"/>
  <c r="M38" i="5" s="1"/>
  <c r="B38" i="5"/>
  <c r="B76" i="5" s="1"/>
  <c r="O37" i="5"/>
  <c r="I37" i="5"/>
  <c r="H37" i="5"/>
  <c r="G37" i="5"/>
  <c r="F37" i="5"/>
  <c r="D37" i="5"/>
  <c r="N37" i="5" s="1"/>
  <c r="B37" i="5"/>
  <c r="B75" i="5" s="1"/>
  <c r="D36" i="5"/>
  <c r="P36" i="5" s="1"/>
  <c r="B36" i="5"/>
  <c r="B74" i="5" s="1"/>
  <c r="D35" i="5"/>
  <c r="P35" i="5" s="1"/>
  <c r="B35" i="5"/>
  <c r="B73" i="5" s="1"/>
  <c r="D34" i="5"/>
  <c r="D72" i="5" s="1"/>
  <c r="H72" i="5" s="1"/>
  <c r="B34" i="5"/>
  <c r="B72" i="5" s="1"/>
  <c r="P33" i="5"/>
  <c r="O33" i="5"/>
  <c r="D33" i="5"/>
  <c r="N33" i="5" s="1"/>
  <c r="B33" i="5"/>
  <c r="B71" i="5" s="1"/>
  <c r="D32" i="5"/>
  <c r="B32" i="5"/>
  <c r="B70" i="5" s="1"/>
  <c r="I31" i="5"/>
  <c r="H31" i="5"/>
  <c r="G31" i="5"/>
  <c r="F31" i="5"/>
  <c r="D31" i="5"/>
  <c r="N31" i="5" s="1"/>
  <c r="B31" i="5"/>
  <c r="B69" i="5" s="1"/>
  <c r="D30" i="5"/>
  <c r="P30" i="5" s="1"/>
  <c r="B30" i="5"/>
  <c r="B68" i="5" s="1"/>
  <c r="N29" i="5"/>
  <c r="D29" i="5"/>
  <c r="P29" i="5" s="1"/>
  <c r="B29" i="5"/>
  <c r="B67" i="5" s="1"/>
  <c r="O28" i="5"/>
  <c r="N28" i="5"/>
  <c r="D28" i="5"/>
  <c r="D66" i="5" s="1"/>
  <c r="E66" i="5" s="1"/>
  <c r="B28" i="5"/>
  <c r="B66" i="5" s="1"/>
  <c r="D27" i="5"/>
  <c r="B27" i="5"/>
  <c r="B65" i="5" s="1"/>
  <c r="O26" i="5"/>
  <c r="N26" i="5"/>
  <c r="M26" i="5"/>
  <c r="F26" i="5"/>
  <c r="E26" i="5"/>
  <c r="D26" i="5"/>
  <c r="P26" i="5" s="1"/>
  <c r="B26" i="5"/>
  <c r="B64" i="5" s="1"/>
  <c r="O25" i="5"/>
  <c r="I25" i="5"/>
  <c r="G25" i="5"/>
  <c r="F25" i="5"/>
  <c r="E25" i="5"/>
  <c r="D25" i="5"/>
  <c r="H25" i="5" s="1"/>
  <c r="B25" i="5"/>
  <c r="D24" i="5"/>
  <c r="P24" i="5" s="1"/>
  <c r="B24" i="5"/>
  <c r="B62" i="5" s="1"/>
  <c r="D23" i="5"/>
  <c r="P23" i="5" s="1"/>
  <c r="B23" i="5"/>
  <c r="B61" i="5" s="1"/>
  <c r="D22" i="5"/>
  <c r="D60" i="5" s="1"/>
  <c r="H60" i="5" s="1"/>
  <c r="B22" i="5"/>
  <c r="B60" i="5" s="1"/>
  <c r="D21" i="5"/>
  <c r="K21" i="5" s="1"/>
  <c r="B21" i="5"/>
  <c r="B59" i="5" s="1"/>
  <c r="D20" i="5"/>
  <c r="K20" i="5" s="1"/>
  <c r="B20" i="5"/>
  <c r="B58" i="5" s="1"/>
  <c r="N19" i="5"/>
  <c r="D19" i="5"/>
  <c r="I19" i="5" s="1"/>
  <c r="B19" i="5"/>
  <c r="B57" i="5" s="1"/>
  <c r="D18" i="5"/>
  <c r="O18" i="5" s="1"/>
  <c r="B18" i="5"/>
  <c r="B56" i="5" s="1"/>
  <c r="N17" i="5"/>
  <c r="M17" i="5"/>
  <c r="L17" i="5"/>
  <c r="D17" i="5"/>
  <c r="P17" i="5" s="1"/>
  <c r="B17" i="5"/>
  <c r="B55" i="5" s="1"/>
  <c r="O16" i="5"/>
  <c r="N16" i="5"/>
  <c r="M16" i="5"/>
  <c r="L16" i="5"/>
  <c r="D16" i="5"/>
  <c r="D54" i="5" s="1"/>
  <c r="E54" i="5" s="1"/>
  <c r="B16" i="5"/>
  <c r="B54" i="5" s="1"/>
  <c r="P15" i="5"/>
  <c r="O15" i="5"/>
  <c r="N15" i="5"/>
  <c r="K15" i="5"/>
  <c r="J15" i="5"/>
  <c r="D15" i="5"/>
  <c r="M15" i="5" s="1"/>
  <c r="B15" i="5"/>
  <c r="B53" i="5" s="1"/>
  <c r="D14" i="5"/>
  <c r="L14" i="5" s="1"/>
  <c r="B14" i="5"/>
  <c r="B52" i="5" s="1"/>
  <c r="D13" i="5"/>
  <c r="H13" i="5" s="1"/>
  <c r="B13" i="5"/>
  <c r="B51" i="5" s="1"/>
  <c r="K12" i="5"/>
  <c r="J12" i="5"/>
  <c r="I12" i="5"/>
  <c r="H12" i="5"/>
  <c r="E12" i="5"/>
  <c r="D12" i="5"/>
  <c r="P12" i="5" s="1"/>
  <c r="B12" i="5"/>
  <c r="B50" i="5" s="1"/>
  <c r="M11" i="5"/>
  <c r="L11" i="5"/>
  <c r="K11" i="5"/>
  <c r="J11" i="5"/>
  <c r="I11" i="5"/>
  <c r="H11" i="5"/>
  <c r="G11" i="5"/>
  <c r="D11" i="5"/>
  <c r="P11" i="5" s="1"/>
  <c r="B11" i="5"/>
  <c r="B49" i="5" s="1"/>
  <c r="N10" i="5"/>
  <c r="M10" i="5"/>
  <c r="L10" i="5"/>
  <c r="K10" i="5"/>
  <c r="J10" i="5"/>
  <c r="I10" i="5"/>
  <c r="H10" i="5"/>
  <c r="D10" i="5"/>
  <c r="D48" i="5" s="1"/>
  <c r="H48" i="5" s="1"/>
  <c r="B10" i="5"/>
  <c r="B48" i="5" s="1"/>
  <c r="D9" i="5"/>
  <c r="J9" i="5" s="1"/>
  <c r="B9" i="5"/>
  <c r="B47" i="5" s="1"/>
  <c r="B2" i="5"/>
  <c r="G14" i="5" l="1"/>
  <c r="E23" i="5"/>
  <c r="G34" i="5"/>
  <c r="F35" i="5"/>
  <c r="F36" i="5"/>
  <c r="P62" i="5"/>
  <c r="E11" i="5"/>
  <c r="G10" i="5"/>
  <c r="F11" i="5"/>
  <c r="O13" i="5"/>
  <c r="K16" i="5"/>
  <c r="J17" i="5"/>
  <c r="M22" i="5"/>
  <c r="L23" i="5"/>
  <c r="L28" i="5"/>
  <c r="K29" i="5"/>
  <c r="K30" i="5"/>
  <c r="E33" i="5"/>
  <c r="N34" i="5"/>
  <c r="M35" i="5"/>
  <c r="P38" i="5"/>
  <c r="D73" i="5"/>
  <c r="P13" i="5"/>
  <c r="K17" i="5"/>
  <c r="N22" i="5"/>
  <c r="M23" i="5"/>
  <c r="M28" i="5"/>
  <c r="L29" i="5"/>
  <c r="O34" i="5"/>
  <c r="N35" i="5"/>
  <c r="D49" i="5"/>
  <c r="E49" i="5" s="1"/>
  <c r="O22" i="5"/>
  <c r="N23" i="5"/>
  <c r="M29" i="5"/>
  <c r="E36" i="5"/>
  <c r="J40" i="5"/>
  <c r="J18" i="5"/>
  <c r="G23" i="5"/>
  <c r="G24" i="5"/>
  <c r="G28" i="5"/>
  <c r="F30" i="5"/>
  <c r="O31" i="5"/>
  <c r="H35" i="5"/>
  <c r="H36" i="5"/>
  <c r="L40" i="5"/>
  <c r="J60" i="5"/>
  <c r="P69" i="5"/>
  <c r="K9" i="5"/>
  <c r="O10" i="5"/>
  <c r="N11" i="5"/>
  <c r="G13" i="5"/>
  <c r="N14" i="5"/>
  <c r="G16" i="5"/>
  <c r="F17" i="5"/>
  <c r="P18" i="5"/>
  <c r="I22" i="5"/>
  <c r="H23" i="5"/>
  <c r="H24" i="5"/>
  <c r="H28" i="5"/>
  <c r="G29" i="5"/>
  <c r="G30" i="5"/>
  <c r="J34" i="5"/>
  <c r="I35" i="5"/>
  <c r="I36" i="5"/>
  <c r="M40" i="5"/>
  <c r="D51" i="5"/>
  <c r="O51" i="5" s="1"/>
  <c r="F14" i="5"/>
  <c r="E35" i="5"/>
  <c r="E62" i="5"/>
  <c r="I40" i="5"/>
  <c r="I9" i="5"/>
  <c r="G22" i="5"/>
  <c r="F23" i="5"/>
  <c r="F24" i="5"/>
  <c r="E29" i="5"/>
  <c r="F13" i="5"/>
  <c r="M14" i="5"/>
  <c r="E17" i="5"/>
  <c r="H22" i="5"/>
  <c r="P25" i="5"/>
  <c r="F29" i="5"/>
  <c r="I34" i="5"/>
  <c r="D63" i="5"/>
  <c r="O63" i="5" s="1"/>
  <c r="L9" i="5"/>
  <c r="I13" i="5"/>
  <c r="O14" i="5"/>
  <c r="H16" i="5"/>
  <c r="G17" i="5"/>
  <c r="J22" i="5"/>
  <c r="I23" i="5"/>
  <c r="I24" i="5"/>
  <c r="I28" i="5"/>
  <c r="H29" i="5"/>
  <c r="H30" i="5"/>
  <c r="K34" i="5"/>
  <c r="J35" i="5"/>
  <c r="J36" i="5"/>
  <c r="E38" i="5"/>
  <c r="N40" i="5"/>
  <c r="D61" i="5"/>
  <c r="I72" i="5"/>
  <c r="K14" i="5"/>
  <c r="G35" i="5"/>
  <c r="K69" i="5"/>
  <c r="M13" i="5"/>
  <c r="P14" i="5"/>
  <c r="I16" i="5"/>
  <c r="H17" i="5"/>
  <c r="K22" i="5"/>
  <c r="J23" i="5"/>
  <c r="J24" i="5"/>
  <c r="J28" i="5"/>
  <c r="I29" i="5"/>
  <c r="I30" i="5"/>
  <c r="L34" i="5"/>
  <c r="K35" i="5"/>
  <c r="K36" i="5"/>
  <c r="F38" i="5"/>
  <c r="O40" i="5"/>
  <c r="D67" i="5"/>
  <c r="J72" i="5"/>
  <c r="D75" i="5"/>
  <c r="O75" i="5" s="1"/>
  <c r="E24" i="5"/>
  <c r="E13" i="5"/>
  <c r="E30" i="5"/>
  <c r="H34" i="5"/>
  <c r="G36" i="5"/>
  <c r="E60" i="5"/>
  <c r="D74" i="5"/>
  <c r="K74" i="5" s="1"/>
  <c r="N13" i="5"/>
  <c r="J16" i="5"/>
  <c r="I17" i="5"/>
  <c r="L22" i="5"/>
  <c r="K23" i="5"/>
  <c r="K24" i="5"/>
  <c r="K28" i="5"/>
  <c r="J29" i="5"/>
  <c r="J30" i="5"/>
  <c r="M34" i="5"/>
  <c r="L35" i="5"/>
  <c r="L36" i="5"/>
  <c r="G38" i="5"/>
  <c r="J48" i="5"/>
  <c r="D55" i="5"/>
  <c r="J27" i="5"/>
  <c r="I27" i="5"/>
  <c r="D65" i="5"/>
  <c r="H27" i="5"/>
  <c r="G27" i="5"/>
  <c r="F27" i="5"/>
  <c r="O20" i="5"/>
  <c r="P78" i="5"/>
  <c r="O78" i="5"/>
  <c r="N78" i="5"/>
  <c r="K78" i="5"/>
  <c r="M78" i="5"/>
  <c r="L78" i="5"/>
  <c r="G78" i="5"/>
  <c r="F78" i="5"/>
  <c r="E48" i="5"/>
  <c r="H74" i="5"/>
  <c r="D47" i="5"/>
  <c r="H9" i="5"/>
  <c r="F9" i="5"/>
  <c r="G9" i="5"/>
  <c r="F12" i="5"/>
  <c r="K18" i="5"/>
  <c r="P66" i="5"/>
  <c r="O66" i="5"/>
  <c r="N66" i="5"/>
  <c r="M66" i="5"/>
  <c r="L66" i="5"/>
  <c r="K66" i="5"/>
  <c r="G66" i="5"/>
  <c r="F66" i="5"/>
  <c r="K33" i="5"/>
  <c r="F62" i="5"/>
  <c r="N69" i="5"/>
  <c r="E72" i="5"/>
  <c r="P48" i="5"/>
  <c r="O48" i="5"/>
  <c r="N48" i="5"/>
  <c r="M48" i="5"/>
  <c r="L48" i="5"/>
  <c r="K48" i="5"/>
  <c r="G48" i="5"/>
  <c r="F48" i="5"/>
  <c r="P21" i="5"/>
  <c r="L15" i="5"/>
  <c r="O19" i="5"/>
  <c r="P20" i="5"/>
  <c r="E9" i="5"/>
  <c r="G12" i="5"/>
  <c r="P19" i="5"/>
  <c r="P60" i="5"/>
  <c r="O60" i="5"/>
  <c r="N60" i="5"/>
  <c r="M60" i="5"/>
  <c r="K60" i="5"/>
  <c r="L60" i="5"/>
  <c r="G60" i="5"/>
  <c r="F60" i="5"/>
  <c r="I48" i="5"/>
  <c r="I60" i="5"/>
  <c r="F74" i="5"/>
  <c r="L32" i="5"/>
  <c r="K32" i="5"/>
  <c r="J32" i="5"/>
  <c r="H32" i="5"/>
  <c r="I32" i="5"/>
  <c r="D70" i="5"/>
  <c r="O32" i="5"/>
  <c r="N32" i="5"/>
  <c r="N18" i="5"/>
  <c r="M18" i="5"/>
  <c r="L18" i="5"/>
  <c r="K27" i="5"/>
  <c r="E39" i="5"/>
  <c r="E68" i="5"/>
  <c r="O12" i="5"/>
  <c r="P54" i="5"/>
  <c r="O54" i="5"/>
  <c r="N54" i="5"/>
  <c r="M54" i="5"/>
  <c r="L54" i="5"/>
  <c r="K54" i="5"/>
  <c r="G54" i="5"/>
  <c r="F54" i="5"/>
  <c r="E18" i="5"/>
  <c r="F19" i="5"/>
  <c r="G20" i="5"/>
  <c r="L26" i="5"/>
  <c r="K26" i="5"/>
  <c r="J26" i="5"/>
  <c r="I26" i="5"/>
  <c r="D64" i="5"/>
  <c r="H26" i="5"/>
  <c r="L27" i="5"/>
  <c r="G32" i="5"/>
  <c r="K39" i="5"/>
  <c r="N51" i="5"/>
  <c r="H54" i="5"/>
  <c r="F56" i="5"/>
  <c r="N63" i="5"/>
  <c r="H66" i="5"/>
  <c r="K75" i="5"/>
  <c r="L68" i="5"/>
  <c r="K68" i="5"/>
  <c r="J68" i="5"/>
  <c r="I68" i="5"/>
  <c r="G68" i="5"/>
  <c r="H68" i="5"/>
  <c r="O68" i="5"/>
  <c r="N68" i="5"/>
  <c r="F32" i="5"/>
  <c r="P72" i="5"/>
  <c r="O72" i="5"/>
  <c r="N72" i="5"/>
  <c r="M72" i="5"/>
  <c r="L72" i="5"/>
  <c r="K72" i="5"/>
  <c r="G72" i="5"/>
  <c r="F72" i="5"/>
  <c r="D53" i="5"/>
  <c r="H15" i="5"/>
  <c r="F15" i="5"/>
  <c r="G15" i="5"/>
  <c r="F18" i="5"/>
  <c r="M27" i="5"/>
  <c r="M32" i="5"/>
  <c r="I54" i="5"/>
  <c r="M56" i="5"/>
  <c r="I66" i="5"/>
  <c r="M68" i="5"/>
  <c r="N75" i="5"/>
  <c r="E78" i="5"/>
  <c r="D59" i="5"/>
  <c r="H21" i="5"/>
  <c r="G21" i="5"/>
  <c r="F21" i="5"/>
  <c r="J20" i="5"/>
  <c r="I20" i="5"/>
  <c r="D58" i="5"/>
  <c r="H20" i="5"/>
  <c r="J39" i="5"/>
  <c r="I39" i="5"/>
  <c r="D77" i="5"/>
  <c r="H39" i="5"/>
  <c r="G39" i="5"/>
  <c r="F39" i="5"/>
  <c r="M39" i="5"/>
  <c r="L39" i="5"/>
  <c r="E51" i="5"/>
  <c r="M51" i="5"/>
  <c r="L51" i="5"/>
  <c r="J63" i="5"/>
  <c r="I63" i="5"/>
  <c r="H63" i="5"/>
  <c r="G63" i="5"/>
  <c r="F63" i="5"/>
  <c r="E63" i="5"/>
  <c r="M63" i="5"/>
  <c r="L63" i="5"/>
  <c r="G19" i="5"/>
  <c r="L21" i="5"/>
  <c r="O9" i="5"/>
  <c r="J14" i="5"/>
  <c r="H14" i="5"/>
  <c r="I14" i="5"/>
  <c r="D52" i="5"/>
  <c r="G18" i="5"/>
  <c r="H19" i="5"/>
  <c r="L20" i="5"/>
  <c r="M21" i="5"/>
  <c r="N27" i="5"/>
  <c r="P32" i="5"/>
  <c r="O39" i="5"/>
  <c r="P51" i="5"/>
  <c r="J54" i="5"/>
  <c r="P63" i="5"/>
  <c r="J66" i="5"/>
  <c r="P68" i="5"/>
  <c r="H78" i="5"/>
  <c r="E21" i="5"/>
  <c r="E27" i="5"/>
  <c r="L56" i="5"/>
  <c r="K56" i="5"/>
  <c r="J56" i="5"/>
  <c r="I56" i="5"/>
  <c r="G56" i="5"/>
  <c r="H56" i="5"/>
  <c r="O56" i="5"/>
  <c r="N56" i="5"/>
  <c r="E19" i="5"/>
  <c r="F20" i="5"/>
  <c r="J21" i="5"/>
  <c r="E56" i="5"/>
  <c r="K63" i="5"/>
  <c r="J75" i="5"/>
  <c r="I75" i="5"/>
  <c r="H75" i="5"/>
  <c r="G75" i="5"/>
  <c r="E75" i="5"/>
  <c r="F75" i="5"/>
  <c r="M75" i="5"/>
  <c r="L75" i="5"/>
  <c r="M9" i="5"/>
  <c r="N9" i="5"/>
  <c r="E15" i="5"/>
  <c r="P9" i="5"/>
  <c r="L13" i="5"/>
  <c r="J13" i="5"/>
  <c r="K13" i="5"/>
  <c r="E14" i="5"/>
  <c r="I15" i="5"/>
  <c r="H18" i="5"/>
  <c r="M20" i="5"/>
  <c r="N21" i="5"/>
  <c r="N25" i="5"/>
  <c r="M25" i="5"/>
  <c r="L25" i="5"/>
  <c r="K25" i="5"/>
  <c r="J25" i="5"/>
  <c r="G26" i="5"/>
  <c r="O27" i="5"/>
  <c r="L38" i="5"/>
  <c r="K38" i="5"/>
  <c r="J38" i="5"/>
  <c r="I38" i="5"/>
  <c r="D76" i="5"/>
  <c r="H38" i="5"/>
  <c r="O38" i="5"/>
  <c r="N38" i="5"/>
  <c r="P39" i="5"/>
  <c r="P75" i="5"/>
  <c r="I78" i="5"/>
  <c r="L19" i="5"/>
  <c r="K19" i="5"/>
  <c r="J19" i="5"/>
  <c r="E20" i="5"/>
  <c r="I21" i="5"/>
  <c r="E32" i="5"/>
  <c r="N12" i="5"/>
  <c r="L12" i="5"/>
  <c r="M12" i="5"/>
  <c r="I18" i="5"/>
  <c r="M19" i="5"/>
  <c r="N20" i="5"/>
  <c r="O21" i="5"/>
  <c r="P27" i="5"/>
  <c r="J33" i="5"/>
  <c r="I33" i="5"/>
  <c r="D71" i="5"/>
  <c r="H33" i="5"/>
  <c r="F33" i="5"/>
  <c r="G33" i="5"/>
  <c r="M33" i="5"/>
  <c r="L33" i="5"/>
  <c r="D50" i="5"/>
  <c r="D57" i="5"/>
  <c r="L62" i="5"/>
  <c r="K62" i="5"/>
  <c r="J62" i="5"/>
  <c r="I62" i="5"/>
  <c r="G62" i="5"/>
  <c r="H62" i="5"/>
  <c r="O62" i="5"/>
  <c r="N62" i="5"/>
  <c r="J69" i="5"/>
  <c r="I69" i="5"/>
  <c r="H69" i="5"/>
  <c r="G69" i="5"/>
  <c r="E69" i="5"/>
  <c r="F69" i="5"/>
  <c r="M69" i="5"/>
  <c r="L69" i="5"/>
  <c r="J78" i="5"/>
  <c r="P31" i="5"/>
  <c r="P37" i="5"/>
  <c r="P55" i="5"/>
  <c r="P61" i="5"/>
  <c r="P67" i="5"/>
  <c r="P73" i="5"/>
  <c r="E31" i="5"/>
  <c r="E37" i="5"/>
  <c r="K40" i="5"/>
  <c r="E55" i="5"/>
  <c r="E61" i="5"/>
  <c r="E67" i="5"/>
  <c r="E73" i="5"/>
  <c r="P22" i="5"/>
  <c r="L24" i="5"/>
  <c r="P28" i="5"/>
  <c r="J37" i="5"/>
  <c r="P40" i="5"/>
  <c r="J49" i="5"/>
  <c r="J55" i="5"/>
  <c r="J61" i="5"/>
  <c r="J67" i="5"/>
  <c r="J73" i="5"/>
  <c r="E10" i="5"/>
  <c r="O11" i="5"/>
  <c r="E16" i="5"/>
  <c r="O17" i="5"/>
  <c r="E22" i="5"/>
  <c r="O23" i="5"/>
  <c r="M24" i="5"/>
  <c r="E28" i="5"/>
  <c r="O29" i="5"/>
  <c r="M30" i="5"/>
  <c r="K31" i="5"/>
  <c r="E34" i="5"/>
  <c r="O35" i="5"/>
  <c r="M36" i="5"/>
  <c r="K37" i="5"/>
  <c r="E40" i="5"/>
  <c r="K55" i="5"/>
  <c r="K61" i="5"/>
  <c r="K67" i="5"/>
  <c r="K73" i="5"/>
  <c r="P10" i="5"/>
  <c r="P16" i="5"/>
  <c r="L30" i="5"/>
  <c r="J31" i="5"/>
  <c r="P34" i="5"/>
  <c r="F10" i="5"/>
  <c r="F16" i="5"/>
  <c r="F22" i="5"/>
  <c r="N24" i="5"/>
  <c r="F28" i="5"/>
  <c r="N30" i="5"/>
  <c r="L31" i="5"/>
  <c r="F34" i="5"/>
  <c r="N36" i="5"/>
  <c r="L37" i="5"/>
  <c r="F40" i="5"/>
  <c r="L55" i="5"/>
  <c r="L61" i="5"/>
  <c r="L67" i="5"/>
  <c r="L73" i="5"/>
  <c r="O24" i="5"/>
  <c r="O30" i="5"/>
  <c r="M31" i="5"/>
  <c r="O36" i="5"/>
  <c r="M37" i="5"/>
  <c r="G40" i="5"/>
  <c r="M55" i="5"/>
  <c r="M61" i="5"/>
  <c r="M67" i="5"/>
  <c r="M73" i="5"/>
  <c r="H40" i="5"/>
  <c r="N74" i="5" l="1"/>
  <c r="N55" i="5"/>
  <c r="O55" i="5"/>
  <c r="I55" i="5"/>
  <c r="H55" i="5"/>
  <c r="G55" i="5"/>
  <c r="F55" i="5"/>
  <c r="N67" i="5"/>
  <c r="F67" i="5"/>
  <c r="O67" i="5"/>
  <c r="I67" i="5"/>
  <c r="H67" i="5"/>
  <c r="G67" i="5"/>
  <c r="O74" i="5"/>
  <c r="I74" i="5"/>
  <c r="L74" i="5"/>
  <c r="G74" i="5"/>
  <c r="N73" i="5"/>
  <c r="O73" i="5"/>
  <c r="G73" i="5"/>
  <c r="H73" i="5"/>
  <c r="F73" i="5"/>
  <c r="I73" i="5"/>
  <c r="G51" i="5"/>
  <c r="N61" i="5"/>
  <c r="G61" i="5"/>
  <c r="F61" i="5"/>
  <c r="O61" i="5"/>
  <c r="I61" i="5"/>
  <c r="H61" i="5"/>
  <c r="N49" i="5"/>
  <c r="O49" i="5"/>
  <c r="I49" i="5"/>
  <c r="H49" i="5"/>
  <c r="G49" i="5"/>
  <c r="F49" i="5"/>
  <c r="F51" i="5"/>
  <c r="H51" i="5"/>
  <c r="P74" i="5"/>
  <c r="M74" i="5"/>
  <c r="E74" i="5"/>
  <c r="J74" i="5"/>
  <c r="K49" i="5"/>
  <c r="L49" i="5"/>
  <c r="P49" i="5"/>
  <c r="I51" i="5"/>
  <c r="K51" i="5"/>
  <c r="M49" i="5"/>
  <c r="J51" i="5"/>
  <c r="H76" i="5"/>
  <c r="G76" i="5"/>
  <c r="F76" i="5"/>
  <c r="O76" i="5"/>
  <c r="E76" i="5"/>
  <c r="P76" i="5"/>
  <c r="K76" i="5"/>
  <c r="J76" i="5"/>
  <c r="M76" i="5"/>
  <c r="I76" i="5"/>
  <c r="L76" i="5"/>
  <c r="N76" i="5"/>
  <c r="H52" i="5"/>
  <c r="G52" i="5"/>
  <c r="F52" i="5"/>
  <c r="E52" i="5"/>
  <c r="P52" i="5"/>
  <c r="O52" i="5"/>
  <c r="K52" i="5"/>
  <c r="J52" i="5"/>
  <c r="L52" i="5"/>
  <c r="I52" i="5"/>
  <c r="N52" i="5"/>
  <c r="M52" i="5"/>
  <c r="F71" i="5"/>
  <c r="E71" i="5"/>
  <c r="P71" i="5"/>
  <c r="O71" i="5"/>
  <c r="N71" i="5"/>
  <c r="M71" i="5"/>
  <c r="I71" i="5"/>
  <c r="H71" i="5"/>
  <c r="K71" i="5"/>
  <c r="J71" i="5"/>
  <c r="G71" i="5"/>
  <c r="L71" i="5"/>
  <c r="F77" i="5"/>
  <c r="E77" i="5"/>
  <c r="P77" i="5"/>
  <c r="O77" i="5"/>
  <c r="N77" i="5"/>
  <c r="M77" i="5"/>
  <c r="I77" i="5"/>
  <c r="H77" i="5"/>
  <c r="G77" i="5"/>
  <c r="L77" i="5"/>
  <c r="K77" i="5"/>
  <c r="J77" i="5"/>
  <c r="H64" i="5"/>
  <c r="G64" i="5"/>
  <c r="F64" i="5"/>
  <c r="E64" i="5"/>
  <c r="P64" i="5"/>
  <c r="O64" i="5"/>
  <c r="K64" i="5"/>
  <c r="J64" i="5"/>
  <c r="L64" i="5"/>
  <c r="I64" i="5"/>
  <c r="N64" i="5"/>
  <c r="M64" i="5"/>
  <c r="F53" i="5"/>
  <c r="E53" i="5"/>
  <c r="P53" i="5"/>
  <c r="O53" i="5"/>
  <c r="M53" i="5"/>
  <c r="N53" i="5"/>
  <c r="I53" i="5"/>
  <c r="H53" i="5"/>
  <c r="K53" i="5"/>
  <c r="L53" i="5"/>
  <c r="J53" i="5"/>
  <c r="G53" i="5"/>
  <c r="J57" i="5"/>
  <c r="I57" i="5"/>
  <c r="H57" i="5"/>
  <c r="G57" i="5"/>
  <c r="E57" i="5"/>
  <c r="F57" i="5"/>
  <c r="M57" i="5"/>
  <c r="L57" i="5"/>
  <c r="O57" i="5"/>
  <c r="N57" i="5"/>
  <c r="K57" i="5"/>
  <c r="P57" i="5"/>
  <c r="L50" i="5"/>
  <c r="K50" i="5"/>
  <c r="J50" i="5"/>
  <c r="I50" i="5"/>
  <c r="G50" i="5"/>
  <c r="H50" i="5"/>
  <c r="O50" i="5"/>
  <c r="N50" i="5"/>
  <c r="M50" i="5"/>
  <c r="E50" i="5"/>
  <c r="F50" i="5"/>
  <c r="P50" i="5"/>
  <c r="H58" i="5"/>
  <c r="G58" i="5"/>
  <c r="F58" i="5"/>
  <c r="E58" i="5"/>
  <c r="O58" i="5"/>
  <c r="P58" i="5"/>
  <c r="K58" i="5"/>
  <c r="J58" i="5"/>
  <c r="I58" i="5"/>
  <c r="M58" i="5"/>
  <c r="N58" i="5"/>
  <c r="L58" i="5"/>
  <c r="H70" i="5"/>
  <c r="G70" i="5"/>
  <c r="F70" i="5"/>
  <c r="E70" i="5"/>
  <c r="P70" i="5"/>
  <c r="O70" i="5"/>
  <c r="K70" i="5"/>
  <c r="J70" i="5"/>
  <c r="L70" i="5"/>
  <c r="I70" i="5"/>
  <c r="N70" i="5"/>
  <c r="M70" i="5"/>
  <c r="F65" i="5"/>
  <c r="E65" i="5"/>
  <c r="P65" i="5"/>
  <c r="O65" i="5"/>
  <c r="N65" i="5"/>
  <c r="M65" i="5"/>
  <c r="I65" i="5"/>
  <c r="H65" i="5"/>
  <c r="K65" i="5"/>
  <c r="L65" i="5"/>
  <c r="J65" i="5"/>
  <c r="G65" i="5"/>
  <c r="F59" i="5"/>
  <c r="E59" i="5"/>
  <c r="P59" i="5"/>
  <c r="O59" i="5"/>
  <c r="M59" i="5"/>
  <c r="N59" i="5"/>
  <c r="I59" i="5"/>
  <c r="H59" i="5"/>
  <c r="L59" i="5"/>
  <c r="K59" i="5"/>
  <c r="J59" i="5"/>
  <c r="G59" i="5"/>
  <c r="F47" i="5"/>
  <c r="E47" i="5"/>
  <c r="P47" i="5"/>
  <c r="O47" i="5"/>
  <c r="N47" i="5"/>
  <c r="I47" i="5"/>
  <c r="H47" i="5"/>
  <c r="M47" i="5"/>
  <c r="L47" i="5"/>
  <c r="K47" i="5"/>
  <c r="J47" i="5"/>
  <c r="G47" i="5"/>
  <c r="D76" i="4" l="1"/>
  <c r="L76" i="4" s="1"/>
  <c r="D74" i="4"/>
  <c r="E74" i="4" s="1"/>
  <c r="B63" i="4"/>
  <c r="P40" i="4"/>
  <c r="D40" i="4"/>
  <c r="O40" i="4" s="1"/>
  <c r="B40" i="4"/>
  <c r="B78" i="4" s="1"/>
  <c r="D39" i="4"/>
  <c r="G39" i="4" s="1"/>
  <c r="B39" i="4"/>
  <c r="B77" i="4" s="1"/>
  <c r="D38" i="4"/>
  <c r="I38" i="4" s="1"/>
  <c r="B38" i="4"/>
  <c r="B76" i="4" s="1"/>
  <c r="D37" i="4"/>
  <c r="N37" i="4" s="1"/>
  <c r="B37" i="4"/>
  <c r="B75" i="4" s="1"/>
  <c r="L36" i="4"/>
  <c r="K36" i="4"/>
  <c r="D36" i="4"/>
  <c r="P36" i="4" s="1"/>
  <c r="B36" i="4"/>
  <c r="B74" i="4" s="1"/>
  <c r="M35" i="4"/>
  <c r="L35" i="4"/>
  <c r="D35" i="4"/>
  <c r="P35" i="4" s="1"/>
  <c r="B35" i="4"/>
  <c r="B73" i="4" s="1"/>
  <c r="D34" i="4"/>
  <c r="P34" i="4" s="1"/>
  <c r="B34" i="4"/>
  <c r="B72" i="4" s="1"/>
  <c r="D33" i="4"/>
  <c r="F33" i="4" s="1"/>
  <c r="B33" i="4"/>
  <c r="B71" i="4" s="1"/>
  <c r="D32" i="4"/>
  <c r="P32" i="4" s="1"/>
  <c r="B32" i="4"/>
  <c r="B70" i="4" s="1"/>
  <c r="K31" i="4"/>
  <c r="J31" i="4"/>
  <c r="I31" i="4"/>
  <c r="H31" i="4"/>
  <c r="G31" i="4"/>
  <c r="D31" i="4"/>
  <c r="N31" i="4" s="1"/>
  <c r="B31" i="4"/>
  <c r="B69" i="4" s="1"/>
  <c r="M30" i="4"/>
  <c r="L30" i="4"/>
  <c r="K30" i="4"/>
  <c r="J30" i="4"/>
  <c r="I30" i="4"/>
  <c r="H30" i="4"/>
  <c r="G30" i="4"/>
  <c r="F30" i="4"/>
  <c r="D30" i="4"/>
  <c r="P30" i="4" s="1"/>
  <c r="B30" i="4"/>
  <c r="B68" i="4" s="1"/>
  <c r="M29" i="4"/>
  <c r="L29" i="4"/>
  <c r="K29" i="4"/>
  <c r="J29" i="4"/>
  <c r="I29" i="4"/>
  <c r="H29" i="4"/>
  <c r="G29" i="4"/>
  <c r="D29" i="4"/>
  <c r="P29" i="4" s="1"/>
  <c r="B29" i="4"/>
  <c r="B67" i="4" s="1"/>
  <c r="D28" i="4"/>
  <c r="E28" i="4" s="1"/>
  <c r="B28" i="4"/>
  <c r="B66" i="4" s="1"/>
  <c r="P27" i="4"/>
  <c r="N27" i="4"/>
  <c r="F27" i="4"/>
  <c r="E27" i="4"/>
  <c r="D27" i="4"/>
  <c r="G27" i="4" s="1"/>
  <c r="B27" i="4"/>
  <c r="B65" i="4" s="1"/>
  <c r="D26" i="4"/>
  <c r="E26" i="4" s="1"/>
  <c r="B26" i="4"/>
  <c r="B64" i="4" s="1"/>
  <c r="D25" i="4"/>
  <c r="N25" i="4" s="1"/>
  <c r="B25" i="4"/>
  <c r="D24" i="4"/>
  <c r="P24" i="4" s="1"/>
  <c r="B24" i="4"/>
  <c r="B62" i="4" s="1"/>
  <c r="D23" i="4"/>
  <c r="P23" i="4" s="1"/>
  <c r="B23" i="4"/>
  <c r="B61" i="4" s="1"/>
  <c r="D22" i="4"/>
  <c r="N22" i="4" s="1"/>
  <c r="B22" i="4"/>
  <c r="B60" i="4" s="1"/>
  <c r="P21" i="4"/>
  <c r="O21" i="4"/>
  <c r="N21" i="4"/>
  <c r="M21" i="4"/>
  <c r="G21" i="4"/>
  <c r="D21" i="4"/>
  <c r="E21" i="4" s="1"/>
  <c r="B21" i="4"/>
  <c r="B59" i="4" s="1"/>
  <c r="D20" i="4"/>
  <c r="B20" i="4"/>
  <c r="B58" i="4" s="1"/>
  <c r="K19" i="4"/>
  <c r="J19" i="4"/>
  <c r="I19" i="4"/>
  <c r="H19" i="4"/>
  <c r="G19" i="4"/>
  <c r="F19" i="4"/>
  <c r="E19" i="4"/>
  <c r="D19" i="4"/>
  <c r="N19" i="4" s="1"/>
  <c r="B19" i="4"/>
  <c r="B57" i="4" s="1"/>
  <c r="I18" i="4"/>
  <c r="F18" i="4"/>
  <c r="E18" i="4"/>
  <c r="D18" i="4"/>
  <c r="P18" i="4" s="1"/>
  <c r="B18" i="4"/>
  <c r="B56" i="4" s="1"/>
  <c r="O17" i="4"/>
  <c r="N17" i="4"/>
  <c r="L17" i="4"/>
  <c r="K17" i="4"/>
  <c r="J17" i="4"/>
  <c r="I17" i="4"/>
  <c r="H17" i="4"/>
  <c r="G17" i="4"/>
  <c r="F17" i="4"/>
  <c r="E17" i="4"/>
  <c r="D17" i="4"/>
  <c r="P17" i="4" s="1"/>
  <c r="B17" i="4"/>
  <c r="B55" i="4" s="1"/>
  <c r="P16" i="4"/>
  <c r="D16" i="4"/>
  <c r="J16" i="4" s="1"/>
  <c r="B16" i="4"/>
  <c r="B54" i="4" s="1"/>
  <c r="D15" i="4"/>
  <c r="P15" i="4" s="1"/>
  <c r="B15" i="4"/>
  <c r="B53" i="4" s="1"/>
  <c r="D14" i="4"/>
  <c r="I14" i="4" s="1"/>
  <c r="B14" i="4"/>
  <c r="B52" i="4" s="1"/>
  <c r="P13" i="4"/>
  <c r="O13" i="4"/>
  <c r="K13" i="4"/>
  <c r="J13" i="4"/>
  <c r="I13" i="4"/>
  <c r="G13" i="4"/>
  <c r="F13" i="4"/>
  <c r="D13" i="4"/>
  <c r="H13" i="4" s="1"/>
  <c r="B13" i="4"/>
  <c r="B51" i="4" s="1"/>
  <c r="M12" i="4"/>
  <c r="L12" i="4"/>
  <c r="J12" i="4"/>
  <c r="I12" i="4"/>
  <c r="H12" i="4"/>
  <c r="G12" i="4"/>
  <c r="D12" i="4"/>
  <c r="P12" i="4" s="1"/>
  <c r="B12" i="4"/>
  <c r="B50" i="4" s="1"/>
  <c r="O11" i="4"/>
  <c r="N11" i="4"/>
  <c r="M11" i="4"/>
  <c r="L11" i="4"/>
  <c r="K11" i="4"/>
  <c r="J11" i="4"/>
  <c r="I11" i="4"/>
  <c r="H11" i="4"/>
  <c r="G11" i="4"/>
  <c r="F11" i="4"/>
  <c r="E11" i="4"/>
  <c r="D11" i="4"/>
  <c r="P11" i="4" s="1"/>
  <c r="B11" i="4"/>
  <c r="B49" i="4" s="1"/>
  <c r="P10" i="4"/>
  <c r="O10" i="4"/>
  <c r="N10" i="4"/>
  <c r="M10" i="4"/>
  <c r="L10" i="4"/>
  <c r="K10" i="4"/>
  <c r="I10" i="4"/>
  <c r="D10" i="4"/>
  <c r="J10" i="4" s="1"/>
  <c r="B10" i="4"/>
  <c r="B48" i="4" s="1"/>
  <c r="D9" i="4"/>
  <c r="M9" i="4" s="1"/>
  <c r="B9" i="4"/>
  <c r="B47" i="4" s="1"/>
  <c r="B2" i="4"/>
  <c r="D63" i="4" l="1"/>
  <c r="N15" i="4"/>
  <c r="F23" i="4"/>
  <c r="E24" i="4"/>
  <c r="F25" i="4"/>
  <c r="N35" i="4"/>
  <c r="M36" i="4"/>
  <c r="H38" i="4"/>
  <c r="D50" i="4"/>
  <c r="P50" i="4" s="1"/>
  <c r="E25" i="4"/>
  <c r="G9" i="4"/>
  <c r="G18" i="4"/>
  <c r="K9" i="4"/>
  <c r="K12" i="4"/>
  <c r="O15" i="4"/>
  <c r="H18" i="4"/>
  <c r="G23" i="4"/>
  <c r="F24" i="4"/>
  <c r="G25" i="4"/>
  <c r="O27" i="4"/>
  <c r="O35" i="4"/>
  <c r="P38" i="4"/>
  <c r="H23" i="4"/>
  <c r="H25" i="4"/>
  <c r="I23" i="4"/>
  <c r="H24" i="4"/>
  <c r="I25" i="4"/>
  <c r="E37" i="4"/>
  <c r="D56" i="4"/>
  <c r="E14" i="4"/>
  <c r="E35" i="4"/>
  <c r="N9" i="4"/>
  <c r="G14" i="4"/>
  <c r="E22" i="4"/>
  <c r="J23" i="4"/>
  <c r="I24" i="4"/>
  <c r="J25" i="4"/>
  <c r="N29" i="4"/>
  <c r="E32" i="4"/>
  <c r="F35" i="4"/>
  <c r="E36" i="4"/>
  <c r="F37" i="4"/>
  <c r="D75" i="4"/>
  <c r="L9" i="4"/>
  <c r="G24" i="4"/>
  <c r="J18" i="4"/>
  <c r="K18" i="4"/>
  <c r="O9" i="4"/>
  <c r="H14" i="4"/>
  <c r="O16" i="4"/>
  <c r="M17" i="4"/>
  <c r="L18" i="4"/>
  <c r="L22" i="4"/>
  <c r="K23" i="4"/>
  <c r="J24" i="4"/>
  <c r="K25" i="4"/>
  <c r="O29" i="4"/>
  <c r="G32" i="4"/>
  <c r="G35" i="4"/>
  <c r="F36" i="4"/>
  <c r="G37" i="4"/>
  <c r="D68" i="4"/>
  <c r="E9" i="4"/>
  <c r="E23" i="4"/>
  <c r="M14" i="4"/>
  <c r="M18" i="4"/>
  <c r="M22" i="4"/>
  <c r="L23" i="4"/>
  <c r="K24" i="4"/>
  <c r="H32" i="4"/>
  <c r="H35" i="4"/>
  <c r="G36" i="4"/>
  <c r="H37" i="4"/>
  <c r="L40" i="4"/>
  <c r="D52" i="4"/>
  <c r="E12" i="4"/>
  <c r="N14" i="4"/>
  <c r="O22" i="4"/>
  <c r="M23" i="4"/>
  <c r="L24" i="4"/>
  <c r="E29" i="4"/>
  <c r="E31" i="4"/>
  <c r="I32" i="4"/>
  <c r="I35" i="4"/>
  <c r="H36" i="4"/>
  <c r="I37" i="4"/>
  <c r="M40" i="4"/>
  <c r="D57" i="4"/>
  <c r="D69" i="4"/>
  <c r="E10" i="4"/>
  <c r="F12" i="4"/>
  <c r="O14" i="4"/>
  <c r="P22" i="4"/>
  <c r="N23" i="4"/>
  <c r="M24" i="4"/>
  <c r="F29" i="4"/>
  <c r="E30" i="4"/>
  <c r="F31" i="4"/>
  <c r="J35" i="4"/>
  <c r="I36" i="4"/>
  <c r="J37" i="4"/>
  <c r="N40" i="4"/>
  <c r="P14" i="4"/>
  <c r="O23" i="4"/>
  <c r="K35" i="4"/>
  <c r="J36" i="4"/>
  <c r="K37" i="4"/>
  <c r="D62" i="4"/>
  <c r="P62" i="4" s="1"/>
  <c r="L20" i="4"/>
  <c r="K20" i="4"/>
  <c r="J20" i="4"/>
  <c r="N20" i="4"/>
  <c r="M20" i="4"/>
  <c r="E20" i="4"/>
  <c r="F20" i="4"/>
  <c r="J57" i="4"/>
  <c r="I57" i="4"/>
  <c r="H57" i="4"/>
  <c r="M57" i="4"/>
  <c r="L57" i="4"/>
  <c r="K57" i="4"/>
  <c r="H52" i="4"/>
  <c r="G52" i="4"/>
  <c r="F52" i="4"/>
  <c r="K52" i="4"/>
  <c r="J52" i="4"/>
  <c r="I52" i="4"/>
  <c r="L68" i="4"/>
  <c r="K68" i="4"/>
  <c r="J68" i="4"/>
  <c r="I68" i="4"/>
  <c r="O68" i="4"/>
  <c r="N68" i="4"/>
  <c r="M68" i="4"/>
  <c r="J15" i="4"/>
  <c r="I15" i="4"/>
  <c r="D53" i="4"/>
  <c r="H15" i="4"/>
  <c r="I20" i="4"/>
  <c r="N34" i="4"/>
  <c r="E52" i="4"/>
  <c r="J9" i="4"/>
  <c r="I9" i="4"/>
  <c r="D47" i="4"/>
  <c r="H9" i="4"/>
  <c r="K15" i="4"/>
  <c r="L16" i="4"/>
  <c r="J21" i="4"/>
  <c r="I21" i="4"/>
  <c r="D59" i="4"/>
  <c r="H21" i="4"/>
  <c r="L21" i="4"/>
  <c r="K21" i="4"/>
  <c r="O28" i="4"/>
  <c r="L32" i="4"/>
  <c r="K32" i="4"/>
  <c r="J32" i="4"/>
  <c r="O32" i="4"/>
  <c r="N32" i="4"/>
  <c r="M32" i="4"/>
  <c r="N33" i="4"/>
  <c r="G38" i="4"/>
  <c r="O52" i="4"/>
  <c r="G56" i="4"/>
  <c r="E63" i="4"/>
  <c r="P68" i="4"/>
  <c r="O76" i="4"/>
  <c r="E50" i="4"/>
  <c r="J39" i="4"/>
  <c r="I39" i="4"/>
  <c r="D77" i="4"/>
  <c r="H39" i="4"/>
  <c r="M39" i="4"/>
  <c r="L39" i="4"/>
  <c r="K39" i="4"/>
  <c r="D64" i="4"/>
  <c r="I26" i="4"/>
  <c r="L15" i="4"/>
  <c r="M16" i="4"/>
  <c r="P28" i="4"/>
  <c r="O33" i="4"/>
  <c r="D78" i="4"/>
  <c r="H40" i="4"/>
  <c r="G40" i="4"/>
  <c r="F40" i="4"/>
  <c r="K40" i="4"/>
  <c r="J40" i="4"/>
  <c r="I40" i="4"/>
  <c r="P52" i="4"/>
  <c r="D58" i="4"/>
  <c r="J75" i="4"/>
  <c r="I75" i="4"/>
  <c r="H75" i="4"/>
  <c r="G75" i="4"/>
  <c r="M75" i="4"/>
  <c r="L75" i="4"/>
  <c r="K75" i="4"/>
  <c r="P76" i="4"/>
  <c r="E34" i="4"/>
  <c r="E57" i="4"/>
  <c r="F57" i="4"/>
  <c r="H62" i="4"/>
  <c r="E16" i="4"/>
  <c r="G57" i="4"/>
  <c r="F9" i="4"/>
  <c r="M15" i="4"/>
  <c r="N16" i="4"/>
  <c r="F21" i="4"/>
  <c r="F32" i="4"/>
  <c r="P33" i="4"/>
  <c r="E40" i="4"/>
  <c r="J69" i="4"/>
  <c r="I69" i="4"/>
  <c r="H69" i="4"/>
  <c r="G69" i="4"/>
  <c r="M69" i="4"/>
  <c r="L69" i="4"/>
  <c r="K69" i="4"/>
  <c r="E75" i="4"/>
  <c r="G20" i="4"/>
  <c r="G26" i="4"/>
  <c r="E39" i="4"/>
  <c r="G50" i="4"/>
  <c r="L74" i="4"/>
  <c r="K74" i="4"/>
  <c r="J74" i="4"/>
  <c r="I74" i="4"/>
  <c r="O74" i="4"/>
  <c r="N74" i="4"/>
  <c r="M74" i="4"/>
  <c r="H26" i="4"/>
  <c r="D66" i="4"/>
  <c r="H28" i="4"/>
  <c r="G28" i="4"/>
  <c r="F28" i="4"/>
  <c r="K28" i="4"/>
  <c r="J28" i="4"/>
  <c r="I28" i="4"/>
  <c r="I50" i="4"/>
  <c r="E68" i="4"/>
  <c r="P9" i="4"/>
  <c r="L14" i="4"/>
  <c r="K14" i="4"/>
  <c r="J14" i="4"/>
  <c r="E15" i="4"/>
  <c r="I16" i="4"/>
  <c r="O20" i="4"/>
  <c r="D60" i="4"/>
  <c r="H22" i="4"/>
  <c r="G22" i="4"/>
  <c r="F22" i="4"/>
  <c r="J22" i="4"/>
  <c r="I22" i="4"/>
  <c r="P26" i="4"/>
  <c r="L28" i="4"/>
  <c r="E33" i="4"/>
  <c r="O34" i="4"/>
  <c r="L38" i="4"/>
  <c r="K38" i="4"/>
  <c r="J38" i="4"/>
  <c r="O38" i="4"/>
  <c r="N38" i="4"/>
  <c r="M38" i="4"/>
  <c r="N39" i="4"/>
  <c r="L52" i="4"/>
  <c r="L56" i="4"/>
  <c r="K56" i="4"/>
  <c r="J56" i="4"/>
  <c r="O56" i="4"/>
  <c r="N56" i="4"/>
  <c r="M56" i="4"/>
  <c r="N57" i="4"/>
  <c r="F68" i="4"/>
  <c r="D70" i="4"/>
  <c r="G74" i="4"/>
  <c r="L34" i="4"/>
  <c r="H76" i="4"/>
  <c r="G76" i="4"/>
  <c r="F76" i="4"/>
  <c r="E76" i="4"/>
  <c r="K76" i="4"/>
  <c r="J76" i="4"/>
  <c r="I76" i="4"/>
  <c r="N13" i="4"/>
  <c r="M13" i="4"/>
  <c r="L13" i="4"/>
  <c r="F15" i="4"/>
  <c r="P20" i="4"/>
  <c r="M28" i="4"/>
  <c r="E38" i="4"/>
  <c r="O39" i="4"/>
  <c r="M52" i="4"/>
  <c r="E56" i="4"/>
  <c r="O57" i="4"/>
  <c r="G68" i="4"/>
  <c r="H74" i="4"/>
  <c r="M76" i="4"/>
  <c r="L26" i="4"/>
  <c r="K26" i="4"/>
  <c r="J26" i="4"/>
  <c r="O26" i="4"/>
  <c r="N26" i="4"/>
  <c r="M26" i="4"/>
  <c r="D72" i="4"/>
  <c r="H34" i="4"/>
  <c r="G34" i="4"/>
  <c r="F34" i="4"/>
  <c r="K34" i="4"/>
  <c r="J34" i="4"/>
  <c r="I34" i="4"/>
  <c r="F26" i="4"/>
  <c r="D54" i="4"/>
  <c r="H16" i="4"/>
  <c r="G16" i="4"/>
  <c r="F16" i="4"/>
  <c r="H20" i="4"/>
  <c r="M34" i="4"/>
  <c r="F39" i="4"/>
  <c r="J33" i="4"/>
  <c r="I33" i="4"/>
  <c r="D71" i="4"/>
  <c r="H33" i="4"/>
  <c r="M33" i="4"/>
  <c r="L33" i="4"/>
  <c r="K33" i="4"/>
  <c r="F74" i="4"/>
  <c r="D48" i="4"/>
  <c r="H10" i="4"/>
  <c r="G10" i="4"/>
  <c r="F10" i="4"/>
  <c r="E13" i="4"/>
  <c r="F14" i="4"/>
  <c r="G15" i="4"/>
  <c r="K16" i="4"/>
  <c r="K22" i="4"/>
  <c r="J27" i="4"/>
  <c r="I27" i="4"/>
  <c r="D65" i="4"/>
  <c r="H27" i="4"/>
  <c r="M27" i="4"/>
  <c r="L27" i="4"/>
  <c r="K27" i="4"/>
  <c r="N28" i="4"/>
  <c r="G33" i="4"/>
  <c r="F38" i="4"/>
  <c r="P39" i="4"/>
  <c r="D51" i="4"/>
  <c r="N52" i="4"/>
  <c r="F56" i="4"/>
  <c r="P57" i="4"/>
  <c r="J63" i="4"/>
  <c r="I63" i="4"/>
  <c r="H63" i="4"/>
  <c r="M63" i="4"/>
  <c r="L63" i="4"/>
  <c r="K63" i="4"/>
  <c r="H68" i="4"/>
  <c r="P74" i="4"/>
  <c r="N76" i="4"/>
  <c r="O19" i="4"/>
  <c r="O25" i="4"/>
  <c r="O31" i="4"/>
  <c r="O37" i="4"/>
  <c r="P19" i="4"/>
  <c r="P25" i="4"/>
  <c r="P31" i="4"/>
  <c r="P37" i="4"/>
  <c r="D49" i="4"/>
  <c r="D55" i="4"/>
  <c r="D61" i="4"/>
  <c r="D67" i="4"/>
  <c r="D73" i="4"/>
  <c r="N12" i="4"/>
  <c r="N18" i="4"/>
  <c r="L19" i="4"/>
  <c r="N24" i="4"/>
  <c r="L25" i="4"/>
  <c r="N30" i="4"/>
  <c r="L31" i="4"/>
  <c r="N36" i="4"/>
  <c r="L37" i="4"/>
  <c r="O12" i="4"/>
  <c r="O18" i="4"/>
  <c r="M19" i="4"/>
  <c r="O24" i="4"/>
  <c r="M25" i="4"/>
  <c r="O30" i="4"/>
  <c r="M31" i="4"/>
  <c r="O36" i="4"/>
  <c r="M37" i="4"/>
  <c r="H50" i="4" l="1"/>
  <c r="G62" i="4"/>
  <c r="M50" i="4"/>
  <c r="F50" i="4"/>
  <c r="M62" i="4"/>
  <c r="N50" i="4"/>
  <c r="P75" i="4"/>
  <c r="O75" i="4"/>
  <c r="N75" i="4"/>
  <c r="F75" i="4"/>
  <c r="N62" i="4"/>
  <c r="O50" i="4"/>
  <c r="F62" i="4"/>
  <c r="O62" i="4"/>
  <c r="J50" i="4"/>
  <c r="F69" i="4"/>
  <c r="E69" i="4"/>
  <c r="N69" i="4"/>
  <c r="O69" i="4"/>
  <c r="P69" i="4"/>
  <c r="I56" i="4"/>
  <c r="P56" i="4"/>
  <c r="H56" i="4"/>
  <c r="J62" i="4"/>
  <c r="K50" i="4"/>
  <c r="E62" i="4"/>
  <c r="K62" i="4"/>
  <c r="L50" i="4"/>
  <c r="L62" i="4"/>
  <c r="I62" i="4"/>
  <c r="G63" i="4"/>
  <c r="O63" i="4"/>
  <c r="P63" i="4"/>
  <c r="N63" i="4"/>
  <c r="F63" i="4"/>
  <c r="N73" i="4"/>
  <c r="M73" i="4"/>
  <c r="L73" i="4"/>
  <c r="K73" i="4"/>
  <c r="E73" i="4"/>
  <c r="P73" i="4"/>
  <c r="O73" i="4"/>
  <c r="H73" i="4"/>
  <c r="J73" i="4"/>
  <c r="G73" i="4"/>
  <c r="F73" i="4"/>
  <c r="I73" i="4"/>
  <c r="P72" i="4"/>
  <c r="O72" i="4"/>
  <c r="N72" i="4"/>
  <c r="M72" i="4"/>
  <c r="G72" i="4"/>
  <c r="F72" i="4"/>
  <c r="E72" i="4"/>
  <c r="K72" i="4"/>
  <c r="J72" i="4"/>
  <c r="I72" i="4"/>
  <c r="L72" i="4"/>
  <c r="H72" i="4"/>
  <c r="F59" i="4"/>
  <c r="E59" i="4"/>
  <c r="P59" i="4"/>
  <c r="I59" i="4"/>
  <c r="H59" i="4"/>
  <c r="G59" i="4"/>
  <c r="L59" i="4"/>
  <c r="K59" i="4"/>
  <c r="J59" i="4"/>
  <c r="O59" i="4"/>
  <c r="N59" i="4"/>
  <c r="M59" i="4"/>
  <c r="F47" i="4"/>
  <c r="E47" i="4"/>
  <c r="P47" i="4"/>
  <c r="I47" i="4"/>
  <c r="H47" i="4"/>
  <c r="G47" i="4"/>
  <c r="L47" i="4"/>
  <c r="K47" i="4"/>
  <c r="J47" i="4"/>
  <c r="O47" i="4"/>
  <c r="N47" i="4"/>
  <c r="M47" i="4"/>
  <c r="P60" i="4"/>
  <c r="O60" i="4"/>
  <c r="N60" i="4"/>
  <c r="G60" i="4"/>
  <c r="F60" i="4"/>
  <c r="E60" i="4"/>
  <c r="H60" i="4"/>
  <c r="M60" i="4"/>
  <c r="K60" i="4"/>
  <c r="J60" i="4"/>
  <c r="I60" i="4"/>
  <c r="L60" i="4"/>
  <c r="H58" i="4"/>
  <c r="G58" i="4"/>
  <c r="F58" i="4"/>
  <c r="K58" i="4"/>
  <c r="J58" i="4"/>
  <c r="I58" i="4"/>
  <c r="N58" i="4"/>
  <c r="P58" i="4"/>
  <c r="M58" i="4"/>
  <c r="E58" i="4"/>
  <c r="L58" i="4"/>
  <c r="O58" i="4"/>
  <c r="F65" i="4"/>
  <c r="E65" i="4"/>
  <c r="P65" i="4"/>
  <c r="I65" i="4"/>
  <c r="H65" i="4"/>
  <c r="G65" i="4"/>
  <c r="K65" i="4"/>
  <c r="N65" i="4"/>
  <c r="O65" i="4"/>
  <c r="M65" i="4"/>
  <c r="J65" i="4"/>
  <c r="L65" i="4"/>
  <c r="P66" i="4"/>
  <c r="O66" i="4"/>
  <c r="N66" i="4"/>
  <c r="M66" i="4"/>
  <c r="G66" i="4"/>
  <c r="F66" i="4"/>
  <c r="E66" i="4"/>
  <c r="J66" i="4"/>
  <c r="I66" i="4"/>
  <c r="H66" i="4"/>
  <c r="L66" i="4"/>
  <c r="K66" i="4"/>
  <c r="J51" i="4"/>
  <c r="I51" i="4"/>
  <c r="H51" i="4"/>
  <c r="M51" i="4"/>
  <c r="L51" i="4"/>
  <c r="K51" i="4"/>
  <c r="P51" i="4"/>
  <c r="O51" i="4"/>
  <c r="N51" i="4"/>
  <c r="G51" i="4"/>
  <c r="F51" i="4"/>
  <c r="E51" i="4"/>
  <c r="F53" i="4"/>
  <c r="E53" i="4"/>
  <c r="P53" i="4"/>
  <c r="I53" i="4"/>
  <c r="H53" i="4"/>
  <c r="G53" i="4"/>
  <c r="O53" i="4"/>
  <c r="N53" i="4"/>
  <c r="M53" i="4"/>
  <c r="L53" i="4"/>
  <c r="J53" i="4"/>
  <c r="K53" i="4"/>
  <c r="N55" i="4"/>
  <c r="M55" i="4"/>
  <c r="L55" i="4"/>
  <c r="E55" i="4"/>
  <c r="P55" i="4"/>
  <c r="O55" i="4"/>
  <c r="F55" i="4"/>
  <c r="K55" i="4"/>
  <c r="J55" i="4"/>
  <c r="H55" i="4"/>
  <c r="G55" i="4"/>
  <c r="I55" i="4"/>
  <c r="F71" i="4"/>
  <c r="E71" i="4"/>
  <c r="P71" i="4"/>
  <c r="O71" i="4"/>
  <c r="I71" i="4"/>
  <c r="H71" i="4"/>
  <c r="G71" i="4"/>
  <c r="N71" i="4"/>
  <c r="J71" i="4"/>
  <c r="M71" i="4"/>
  <c r="L71" i="4"/>
  <c r="K71" i="4"/>
  <c r="P78" i="4"/>
  <c r="O78" i="4"/>
  <c r="N78" i="4"/>
  <c r="M78" i="4"/>
  <c r="G78" i="4"/>
  <c r="F78" i="4"/>
  <c r="E78" i="4"/>
  <c r="L78" i="4"/>
  <c r="K78" i="4"/>
  <c r="J78" i="4"/>
  <c r="I78" i="4"/>
  <c r="H78" i="4"/>
  <c r="F77" i="4"/>
  <c r="E77" i="4"/>
  <c r="P77" i="4"/>
  <c r="O77" i="4"/>
  <c r="I77" i="4"/>
  <c r="H77" i="4"/>
  <c r="G77" i="4"/>
  <c r="N77" i="4"/>
  <c r="L77" i="4"/>
  <c r="K77" i="4"/>
  <c r="J77" i="4"/>
  <c r="M77" i="4"/>
  <c r="P48" i="4"/>
  <c r="O48" i="4"/>
  <c r="N48" i="4"/>
  <c r="G48" i="4"/>
  <c r="F48" i="4"/>
  <c r="E48" i="4"/>
  <c r="J48" i="4"/>
  <c r="M48" i="4"/>
  <c r="H48" i="4"/>
  <c r="I48" i="4"/>
  <c r="L48" i="4"/>
  <c r="K48" i="4"/>
  <c r="N49" i="4"/>
  <c r="M49" i="4"/>
  <c r="L49" i="4"/>
  <c r="E49" i="4"/>
  <c r="P49" i="4"/>
  <c r="O49" i="4"/>
  <c r="H49" i="4"/>
  <c r="G49" i="4"/>
  <c r="F49" i="4"/>
  <c r="K49" i="4"/>
  <c r="J49" i="4"/>
  <c r="I49" i="4"/>
  <c r="H64" i="4"/>
  <c r="G64" i="4"/>
  <c r="F64" i="4"/>
  <c r="K64" i="4"/>
  <c r="J64" i="4"/>
  <c r="I64" i="4"/>
  <c r="N64" i="4"/>
  <c r="M64" i="4"/>
  <c r="L64" i="4"/>
  <c r="P64" i="4"/>
  <c r="E64" i="4"/>
  <c r="O64" i="4"/>
  <c r="P54" i="4"/>
  <c r="O54" i="4"/>
  <c r="N54" i="4"/>
  <c r="G54" i="4"/>
  <c r="F54" i="4"/>
  <c r="E54" i="4"/>
  <c r="J54" i="4"/>
  <c r="I54" i="4"/>
  <c r="H54" i="4"/>
  <c r="M54" i="4"/>
  <c r="L54" i="4"/>
  <c r="K54" i="4"/>
  <c r="N67" i="4"/>
  <c r="M67" i="4"/>
  <c r="L67" i="4"/>
  <c r="K67" i="4"/>
  <c r="E67" i="4"/>
  <c r="P67" i="4"/>
  <c r="O67" i="4"/>
  <c r="I67" i="4"/>
  <c r="H67" i="4"/>
  <c r="F67" i="4"/>
  <c r="G67" i="4"/>
  <c r="J67" i="4"/>
  <c r="N61" i="4"/>
  <c r="M61" i="4"/>
  <c r="L61" i="4"/>
  <c r="E61" i="4"/>
  <c r="P61" i="4"/>
  <c r="O61" i="4"/>
  <c r="H61" i="4"/>
  <c r="G61" i="4"/>
  <c r="F61" i="4"/>
  <c r="K61" i="4"/>
  <c r="J61" i="4"/>
  <c r="I61" i="4"/>
  <c r="H70" i="4"/>
  <c r="G70" i="4"/>
  <c r="F70" i="4"/>
  <c r="E70" i="4"/>
  <c r="K70" i="4"/>
  <c r="J70" i="4"/>
  <c r="I70" i="4"/>
  <c r="M70" i="4"/>
  <c r="L70" i="4"/>
  <c r="P70" i="4"/>
  <c r="O70" i="4"/>
  <c r="N70" i="4"/>
  <c r="E66" i="3" l="1"/>
  <c r="D63" i="3"/>
  <c r="L63" i="3" s="1"/>
  <c r="D61" i="3"/>
  <c r="H61" i="3" s="1"/>
  <c r="B49" i="3"/>
  <c r="O40" i="3"/>
  <c r="D40" i="3"/>
  <c r="D78" i="3" s="1"/>
  <c r="B40" i="3"/>
  <c r="B78" i="3" s="1"/>
  <c r="D39" i="3"/>
  <c r="O39" i="3" s="1"/>
  <c r="B39" i="3"/>
  <c r="B77" i="3" s="1"/>
  <c r="D38" i="3"/>
  <c r="G38" i="3" s="1"/>
  <c r="B38" i="3"/>
  <c r="B76" i="3" s="1"/>
  <c r="D37" i="3"/>
  <c r="B37" i="3"/>
  <c r="B75" i="3" s="1"/>
  <c r="K36" i="3"/>
  <c r="J36" i="3"/>
  <c r="D36" i="3"/>
  <c r="P36" i="3" s="1"/>
  <c r="B36" i="3"/>
  <c r="B74" i="3" s="1"/>
  <c r="N35" i="3"/>
  <c r="M35" i="3"/>
  <c r="K35" i="3"/>
  <c r="J35" i="3"/>
  <c r="I35" i="3"/>
  <c r="H35" i="3"/>
  <c r="G35" i="3"/>
  <c r="D35" i="3"/>
  <c r="F35" i="3" s="1"/>
  <c r="B35" i="3"/>
  <c r="B73" i="3" s="1"/>
  <c r="D34" i="3"/>
  <c r="D72" i="3" s="1"/>
  <c r="H72" i="3" s="1"/>
  <c r="B34" i="3"/>
  <c r="B72" i="3" s="1"/>
  <c r="D33" i="3"/>
  <c r="N33" i="3" s="1"/>
  <c r="B33" i="3"/>
  <c r="B71" i="3" s="1"/>
  <c r="D32" i="3"/>
  <c r="P32" i="3" s="1"/>
  <c r="B32" i="3"/>
  <c r="B70" i="3" s="1"/>
  <c r="P31" i="3"/>
  <c r="D31" i="3"/>
  <c r="D69" i="3" s="1"/>
  <c r="B31" i="3"/>
  <c r="B69" i="3" s="1"/>
  <c r="D30" i="3"/>
  <c r="P30" i="3" s="1"/>
  <c r="B30" i="3"/>
  <c r="B68" i="3" s="1"/>
  <c r="L29" i="3"/>
  <c r="K29" i="3"/>
  <c r="J29" i="3"/>
  <c r="D29" i="3"/>
  <c r="F29" i="3" s="1"/>
  <c r="B29" i="3"/>
  <c r="B67" i="3" s="1"/>
  <c r="O28" i="3"/>
  <c r="N28" i="3"/>
  <c r="L28" i="3"/>
  <c r="K28" i="3"/>
  <c r="J28" i="3"/>
  <c r="D28" i="3"/>
  <c r="D66" i="3" s="1"/>
  <c r="B28" i="3"/>
  <c r="B66" i="3" s="1"/>
  <c r="D27" i="3"/>
  <c r="P27" i="3" s="1"/>
  <c r="B27" i="3"/>
  <c r="B65" i="3" s="1"/>
  <c r="D26" i="3"/>
  <c r="O26" i="3" s="1"/>
  <c r="B26" i="3"/>
  <c r="B64" i="3" s="1"/>
  <c r="P25" i="3"/>
  <c r="O25" i="3"/>
  <c r="H25" i="3"/>
  <c r="E25" i="3"/>
  <c r="D25" i="3"/>
  <c r="G25" i="3" s="1"/>
  <c r="B25" i="3"/>
  <c r="B63" i="3" s="1"/>
  <c r="J24" i="3"/>
  <c r="D24" i="3"/>
  <c r="P24" i="3" s="1"/>
  <c r="B24" i="3"/>
  <c r="B62" i="3" s="1"/>
  <c r="K23" i="3"/>
  <c r="J23" i="3"/>
  <c r="I23" i="3"/>
  <c r="H23" i="3"/>
  <c r="D23" i="3"/>
  <c r="F23" i="3" s="1"/>
  <c r="B23" i="3"/>
  <c r="B61" i="3" s="1"/>
  <c r="D22" i="3"/>
  <c r="D60" i="3" s="1"/>
  <c r="J60" i="3" s="1"/>
  <c r="B22" i="3"/>
  <c r="B60" i="3" s="1"/>
  <c r="D21" i="3"/>
  <c r="K21" i="3" s="1"/>
  <c r="B21" i="3"/>
  <c r="B59" i="3" s="1"/>
  <c r="D20" i="3"/>
  <c r="N20" i="3" s="1"/>
  <c r="B20" i="3"/>
  <c r="B58" i="3" s="1"/>
  <c r="D19" i="3"/>
  <c r="H19" i="3" s="1"/>
  <c r="B19" i="3"/>
  <c r="B57" i="3" s="1"/>
  <c r="J18" i="3"/>
  <c r="I18" i="3"/>
  <c r="D18" i="3"/>
  <c r="P18" i="3" s="1"/>
  <c r="B18" i="3"/>
  <c r="B56" i="3" s="1"/>
  <c r="J17" i="3"/>
  <c r="I17" i="3"/>
  <c r="H17" i="3"/>
  <c r="G17" i="3"/>
  <c r="D17" i="3"/>
  <c r="P17" i="3" s="1"/>
  <c r="B17" i="3"/>
  <c r="B55" i="3" s="1"/>
  <c r="D16" i="3"/>
  <c r="D54" i="3" s="1"/>
  <c r="E54" i="3" s="1"/>
  <c r="B16" i="3"/>
  <c r="B54" i="3" s="1"/>
  <c r="D15" i="3"/>
  <c r="M15" i="3" s="1"/>
  <c r="B15" i="3"/>
  <c r="B53" i="3" s="1"/>
  <c r="D14" i="3"/>
  <c r="F14" i="3" s="1"/>
  <c r="B14" i="3"/>
  <c r="B52" i="3" s="1"/>
  <c r="P13" i="3"/>
  <c r="O13" i="3"/>
  <c r="M13" i="3"/>
  <c r="H13" i="3"/>
  <c r="G13" i="3"/>
  <c r="D13" i="3"/>
  <c r="I13" i="3" s="1"/>
  <c r="B13" i="3"/>
  <c r="B51" i="3" s="1"/>
  <c r="I12" i="3"/>
  <c r="H12" i="3"/>
  <c r="G12" i="3"/>
  <c r="F12" i="3"/>
  <c r="D12" i="3"/>
  <c r="P12" i="3" s="1"/>
  <c r="B12" i="3"/>
  <c r="B50" i="3" s="1"/>
  <c r="I11" i="3"/>
  <c r="H11" i="3"/>
  <c r="G11" i="3"/>
  <c r="F11" i="3"/>
  <c r="E11" i="3"/>
  <c r="D11" i="3"/>
  <c r="P11" i="3" s="1"/>
  <c r="B11" i="3"/>
  <c r="D10" i="3"/>
  <c r="D48" i="3" s="1"/>
  <c r="B10" i="3"/>
  <c r="B48" i="3" s="1"/>
  <c r="D9" i="3"/>
  <c r="M9" i="3" s="1"/>
  <c r="B9" i="3"/>
  <c r="B47" i="3" s="1"/>
  <c r="B2" i="3"/>
  <c r="I19" i="3" l="1"/>
  <c r="O19" i="3"/>
  <c r="G28" i="3"/>
  <c r="M40" i="3"/>
  <c r="E12" i="3"/>
  <c r="F17" i="3"/>
  <c r="G23" i="3"/>
  <c r="I28" i="3"/>
  <c r="G31" i="3"/>
  <c r="N40" i="3"/>
  <c r="E30" i="3"/>
  <c r="M38" i="3"/>
  <c r="N38" i="3"/>
  <c r="K11" i="3"/>
  <c r="L12" i="3"/>
  <c r="I30" i="3"/>
  <c r="P38" i="3"/>
  <c r="G36" i="3"/>
  <c r="D67" i="3"/>
  <c r="P67" i="3" s="1"/>
  <c r="F30" i="3"/>
  <c r="K12" i="3"/>
  <c r="P14" i="3"/>
  <c r="H30" i="3"/>
  <c r="F18" i="3"/>
  <c r="G18" i="3"/>
  <c r="H24" i="3"/>
  <c r="H36" i="3"/>
  <c r="L11" i="3"/>
  <c r="O12" i="3"/>
  <c r="G24" i="3"/>
  <c r="J30" i="3"/>
  <c r="M11" i="3"/>
  <c r="H29" i="3"/>
  <c r="K30" i="3"/>
  <c r="N11" i="3"/>
  <c r="H18" i="3"/>
  <c r="I24" i="3"/>
  <c r="I29" i="3"/>
  <c r="L30" i="3"/>
  <c r="I36" i="3"/>
  <c r="D73" i="3"/>
  <c r="H73" i="3" s="1"/>
  <c r="G16" i="3"/>
  <c r="G34" i="3"/>
  <c r="F61" i="3"/>
  <c r="N9" i="3"/>
  <c r="O10" i="3"/>
  <c r="O33" i="3"/>
  <c r="I40" i="3"/>
  <c r="I22" i="3"/>
  <c r="I34" i="3"/>
  <c r="O9" i="3"/>
  <c r="E29" i="3"/>
  <c r="E36" i="3"/>
  <c r="F38" i="3"/>
  <c r="J40" i="3"/>
  <c r="D50" i="3"/>
  <c r="J50" i="3" s="1"/>
  <c r="D57" i="3"/>
  <c r="F57" i="3" s="1"/>
  <c r="G22" i="3"/>
  <c r="G61" i="3"/>
  <c r="G19" i="3"/>
  <c r="E24" i="3"/>
  <c r="H31" i="3"/>
  <c r="P33" i="3"/>
  <c r="P9" i="3"/>
  <c r="F13" i="3"/>
  <c r="E17" i="3"/>
  <c r="E18" i="3"/>
  <c r="E23" i="3"/>
  <c r="F24" i="3"/>
  <c r="I25" i="3"/>
  <c r="G29" i="3"/>
  <c r="G30" i="3"/>
  <c r="O31" i="3"/>
  <c r="E35" i="3"/>
  <c r="F36" i="3"/>
  <c r="L40" i="3"/>
  <c r="E72" i="3"/>
  <c r="I10" i="3"/>
  <c r="F20" i="3"/>
  <c r="K22" i="3"/>
  <c r="K34" i="3"/>
  <c r="D49" i="3"/>
  <c r="M49" i="3" s="1"/>
  <c r="D51" i="3"/>
  <c r="H51" i="3" s="1"/>
  <c r="O61" i="3"/>
  <c r="I9" i="3"/>
  <c r="K10" i="3"/>
  <c r="J11" i="3"/>
  <c r="J12" i="3"/>
  <c r="L16" i="3"/>
  <c r="K17" i="3"/>
  <c r="K18" i="3"/>
  <c r="G20" i="3"/>
  <c r="L22" i="3"/>
  <c r="L23" i="3"/>
  <c r="L24" i="3"/>
  <c r="M26" i="3"/>
  <c r="M28" i="3"/>
  <c r="M29" i="3"/>
  <c r="O30" i="3"/>
  <c r="E33" i="3"/>
  <c r="L34" i="3"/>
  <c r="L35" i="3"/>
  <c r="L36" i="3"/>
  <c r="L39" i="3"/>
  <c r="P61" i="3"/>
  <c r="P73" i="3"/>
  <c r="J16" i="3"/>
  <c r="K9" i="3"/>
  <c r="L10" i="3"/>
  <c r="M16" i="3"/>
  <c r="L17" i="3"/>
  <c r="L18" i="3"/>
  <c r="M20" i="3"/>
  <c r="M22" i="3"/>
  <c r="M23" i="3"/>
  <c r="O24" i="3"/>
  <c r="N26" i="3"/>
  <c r="N29" i="3"/>
  <c r="K33" i="3"/>
  <c r="M34" i="3"/>
  <c r="P39" i="3"/>
  <c r="D55" i="3"/>
  <c r="H55" i="3" s="1"/>
  <c r="D62" i="3"/>
  <c r="H62" i="3" s="1"/>
  <c r="O67" i="3"/>
  <c r="D74" i="3"/>
  <c r="P74" i="3" s="1"/>
  <c r="G10" i="3"/>
  <c r="J34" i="3"/>
  <c r="K16" i="3"/>
  <c r="L9" i="3"/>
  <c r="M10" i="3"/>
  <c r="M14" i="3"/>
  <c r="N16" i="3"/>
  <c r="M17" i="3"/>
  <c r="O18" i="3"/>
  <c r="O20" i="3"/>
  <c r="N22" i="3"/>
  <c r="N23" i="3"/>
  <c r="P26" i="3"/>
  <c r="L33" i="3"/>
  <c r="N34" i="3"/>
  <c r="D56" i="3"/>
  <c r="H56" i="3" s="1"/>
  <c r="I16" i="3"/>
  <c r="J22" i="3"/>
  <c r="E9" i="3"/>
  <c r="J10" i="3"/>
  <c r="K24" i="3"/>
  <c r="G26" i="3"/>
  <c r="N10" i="3"/>
  <c r="O16" i="3"/>
  <c r="N17" i="3"/>
  <c r="P20" i="3"/>
  <c r="O22" i="3"/>
  <c r="F31" i="3"/>
  <c r="O34" i="3"/>
  <c r="D68" i="3"/>
  <c r="P68" i="3" s="1"/>
  <c r="J69" i="3"/>
  <c r="I69" i="3"/>
  <c r="H69" i="3"/>
  <c r="G69" i="3"/>
  <c r="E69" i="3"/>
  <c r="F69" i="3"/>
  <c r="M69" i="3"/>
  <c r="N69" i="3"/>
  <c r="P69" i="3"/>
  <c r="O69" i="3"/>
  <c r="L69" i="3"/>
  <c r="K69" i="3"/>
  <c r="P78" i="3"/>
  <c r="O78" i="3"/>
  <c r="N78" i="3"/>
  <c r="K78" i="3"/>
  <c r="M78" i="3"/>
  <c r="L78" i="3"/>
  <c r="G78" i="3"/>
  <c r="O15" i="3"/>
  <c r="N19" i="3"/>
  <c r="M19" i="3"/>
  <c r="L19" i="3"/>
  <c r="K19" i="3"/>
  <c r="J19" i="3"/>
  <c r="O21" i="3"/>
  <c r="N14" i="3"/>
  <c r="P15" i="3"/>
  <c r="E19" i="3"/>
  <c r="F25" i="3"/>
  <c r="L38" i="3"/>
  <c r="K38" i="3"/>
  <c r="J38" i="3"/>
  <c r="I38" i="3"/>
  <c r="D76" i="3"/>
  <c r="H38" i="3"/>
  <c r="O38" i="3"/>
  <c r="N39" i="3"/>
  <c r="E49" i="3"/>
  <c r="J54" i="3"/>
  <c r="N56" i="3"/>
  <c r="N67" i="3"/>
  <c r="K67" i="3"/>
  <c r="N73" i="3"/>
  <c r="M73" i="3"/>
  <c r="L73" i="3"/>
  <c r="K73" i="3"/>
  <c r="I73" i="3"/>
  <c r="J73" i="3"/>
  <c r="N37" i="3"/>
  <c r="M37" i="3"/>
  <c r="L37" i="3"/>
  <c r="K37" i="3"/>
  <c r="J37" i="3"/>
  <c r="E37" i="3"/>
  <c r="P48" i="3"/>
  <c r="O48" i="3"/>
  <c r="N48" i="3"/>
  <c r="M48" i="3"/>
  <c r="L48" i="3"/>
  <c r="G48" i="3"/>
  <c r="I54" i="3"/>
  <c r="P21" i="3"/>
  <c r="J9" i="3"/>
  <c r="D47" i="3"/>
  <c r="H9" i="3"/>
  <c r="G9" i="3"/>
  <c r="F9" i="3"/>
  <c r="O14" i="3"/>
  <c r="F19" i="3"/>
  <c r="P66" i="3"/>
  <c r="O66" i="3"/>
  <c r="N66" i="3"/>
  <c r="M66" i="3"/>
  <c r="L66" i="3"/>
  <c r="K66" i="3"/>
  <c r="G66" i="3"/>
  <c r="I31" i="3"/>
  <c r="J33" i="3"/>
  <c r="I33" i="3"/>
  <c r="D71" i="3"/>
  <c r="H33" i="3"/>
  <c r="F33" i="3"/>
  <c r="G33" i="3"/>
  <c r="M33" i="3"/>
  <c r="E38" i="3"/>
  <c r="N61" i="3"/>
  <c r="M61" i="3"/>
  <c r="L61" i="3"/>
  <c r="I61" i="3"/>
  <c r="K61" i="3"/>
  <c r="J61" i="3"/>
  <c r="E61" i="3"/>
  <c r="F67" i="3"/>
  <c r="F73" i="3"/>
  <c r="D75" i="3"/>
  <c r="P60" i="3"/>
  <c r="O60" i="3"/>
  <c r="N60" i="3"/>
  <c r="M60" i="3"/>
  <c r="K60" i="3"/>
  <c r="L60" i="3"/>
  <c r="G60" i="3"/>
  <c r="J63" i="3"/>
  <c r="I63" i="3"/>
  <c r="H63" i="3"/>
  <c r="G63" i="3"/>
  <c r="E63" i="3"/>
  <c r="F63" i="3"/>
  <c r="M63" i="3"/>
  <c r="J57" i="3"/>
  <c r="E57" i="3"/>
  <c r="J27" i="3"/>
  <c r="I27" i="3"/>
  <c r="D65" i="3"/>
  <c r="H27" i="3"/>
  <c r="G27" i="3"/>
  <c r="F27" i="3"/>
  <c r="L32" i="3"/>
  <c r="K32" i="3"/>
  <c r="J32" i="3"/>
  <c r="H32" i="3"/>
  <c r="I32" i="3"/>
  <c r="D70" i="3"/>
  <c r="O32" i="3"/>
  <c r="P19" i="3"/>
  <c r="E21" i="3"/>
  <c r="E32" i="3"/>
  <c r="O55" i="3"/>
  <c r="O63" i="3"/>
  <c r="K68" i="3"/>
  <c r="J68" i="3"/>
  <c r="I68" i="3"/>
  <c r="G68" i="3"/>
  <c r="O68" i="3"/>
  <c r="H74" i="3"/>
  <c r="E14" i="3"/>
  <c r="K15" i="3"/>
  <c r="L26" i="3"/>
  <c r="K26" i="3"/>
  <c r="J26" i="3"/>
  <c r="I26" i="3"/>
  <c r="D64" i="3"/>
  <c r="H26" i="3"/>
  <c r="L27" i="3"/>
  <c r="F32" i="3"/>
  <c r="H37" i="3"/>
  <c r="H48" i="3"/>
  <c r="K50" i="3"/>
  <c r="P55" i="3"/>
  <c r="E60" i="3"/>
  <c r="K62" i="3"/>
  <c r="O62" i="3"/>
  <c r="P63" i="3"/>
  <c r="F66" i="3"/>
  <c r="E68" i="3"/>
  <c r="F72" i="3"/>
  <c r="F78" i="3"/>
  <c r="J21" i="3"/>
  <c r="I21" i="3"/>
  <c r="D59" i="3"/>
  <c r="H21" i="3"/>
  <c r="G21" i="3"/>
  <c r="F21" i="3"/>
  <c r="F37" i="3"/>
  <c r="E78" i="3"/>
  <c r="N13" i="3"/>
  <c r="L13" i="3"/>
  <c r="J13" i="3"/>
  <c r="K13" i="3"/>
  <c r="L15" i="3"/>
  <c r="L20" i="3"/>
  <c r="K20" i="3"/>
  <c r="J20" i="3"/>
  <c r="I20" i="3"/>
  <c r="H20" i="3"/>
  <c r="D58" i="3"/>
  <c r="L21" i="3"/>
  <c r="E26" i="3"/>
  <c r="M27" i="3"/>
  <c r="G32" i="3"/>
  <c r="I37" i="3"/>
  <c r="J39" i="3"/>
  <c r="I39" i="3"/>
  <c r="D77" i="3"/>
  <c r="H39" i="3"/>
  <c r="G39" i="3"/>
  <c r="F39" i="3"/>
  <c r="M39" i="3"/>
  <c r="I48" i="3"/>
  <c r="O56" i="3"/>
  <c r="P57" i="3"/>
  <c r="F60" i="3"/>
  <c r="H66" i="3"/>
  <c r="F68" i="3"/>
  <c r="H78" i="3"/>
  <c r="P54" i="3"/>
  <c r="O54" i="3"/>
  <c r="N54" i="3"/>
  <c r="M54" i="3"/>
  <c r="L54" i="3"/>
  <c r="K54" i="3"/>
  <c r="G54" i="3"/>
  <c r="M55" i="3"/>
  <c r="L55" i="3"/>
  <c r="I55" i="3"/>
  <c r="K55" i="3"/>
  <c r="E55" i="3"/>
  <c r="F55" i="3"/>
  <c r="K63" i="3"/>
  <c r="E48" i="3"/>
  <c r="N63" i="3"/>
  <c r="L14" i="3"/>
  <c r="J14" i="3"/>
  <c r="H14" i="3"/>
  <c r="I14" i="3"/>
  <c r="D52" i="3"/>
  <c r="I15" i="3"/>
  <c r="K27" i="3"/>
  <c r="G37" i="3"/>
  <c r="F48" i="3"/>
  <c r="E13" i="3"/>
  <c r="G14" i="3"/>
  <c r="E20" i="3"/>
  <c r="M21" i="3"/>
  <c r="F26" i="3"/>
  <c r="N27" i="3"/>
  <c r="N31" i="3"/>
  <c r="M31" i="3"/>
  <c r="L31" i="3"/>
  <c r="J31" i="3"/>
  <c r="K31" i="3"/>
  <c r="E31" i="3"/>
  <c r="M32" i="3"/>
  <c r="P72" i="3"/>
  <c r="O72" i="3"/>
  <c r="N72" i="3"/>
  <c r="M72" i="3"/>
  <c r="K72" i="3"/>
  <c r="L72" i="3"/>
  <c r="G72" i="3"/>
  <c r="O37" i="3"/>
  <c r="E39" i="3"/>
  <c r="J48" i="3"/>
  <c r="F54" i="3"/>
  <c r="H60" i="3"/>
  <c r="I66" i="3"/>
  <c r="M68" i="3"/>
  <c r="I72" i="3"/>
  <c r="I78" i="3"/>
  <c r="J15" i="3"/>
  <c r="D53" i="3"/>
  <c r="H15" i="3"/>
  <c r="F15" i="3"/>
  <c r="G15" i="3"/>
  <c r="E15" i="3"/>
  <c r="E27" i="3"/>
  <c r="K14" i="3"/>
  <c r="N15" i="3"/>
  <c r="N21" i="3"/>
  <c r="N25" i="3"/>
  <c r="M25" i="3"/>
  <c r="L25" i="3"/>
  <c r="K25" i="3"/>
  <c r="J25" i="3"/>
  <c r="O27" i="3"/>
  <c r="N32" i="3"/>
  <c r="P37" i="3"/>
  <c r="K39" i="3"/>
  <c r="K48" i="3"/>
  <c r="H54" i="3"/>
  <c r="I60" i="3"/>
  <c r="J66" i="3"/>
  <c r="N68" i="3"/>
  <c r="J72" i="3"/>
  <c r="J78" i="3"/>
  <c r="K40" i="3"/>
  <c r="P10" i="3"/>
  <c r="P28" i="3"/>
  <c r="P40" i="3"/>
  <c r="P22" i="3"/>
  <c r="E10" i="3"/>
  <c r="O11" i="3"/>
  <c r="M12" i="3"/>
  <c r="E16" i="3"/>
  <c r="O17" i="3"/>
  <c r="M18" i="3"/>
  <c r="E22" i="3"/>
  <c r="O23" i="3"/>
  <c r="M24" i="3"/>
  <c r="E28" i="3"/>
  <c r="O29" i="3"/>
  <c r="M30" i="3"/>
  <c r="E34" i="3"/>
  <c r="O35" i="3"/>
  <c r="M36" i="3"/>
  <c r="E40" i="3"/>
  <c r="P16" i="3"/>
  <c r="P34" i="3"/>
  <c r="F10" i="3"/>
  <c r="N12" i="3"/>
  <c r="F16" i="3"/>
  <c r="N18" i="3"/>
  <c r="F22" i="3"/>
  <c r="P23" i="3"/>
  <c r="N24" i="3"/>
  <c r="F28" i="3"/>
  <c r="P29" i="3"/>
  <c r="N30" i="3"/>
  <c r="F34" i="3"/>
  <c r="P35" i="3"/>
  <c r="N36" i="3"/>
  <c r="F40" i="3"/>
  <c r="O36" i="3"/>
  <c r="G40" i="3"/>
  <c r="H10" i="3"/>
  <c r="H16" i="3"/>
  <c r="H22" i="3"/>
  <c r="H28" i="3"/>
  <c r="H34" i="3"/>
  <c r="H40" i="3"/>
  <c r="G62" i="3" l="1"/>
  <c r="L50" i="3"/>
  <c r="L67" i="3"/>
  <c r="J55" i="3"/>
  <c r="O74" i="3"/>
  <c r="E73" i="3"/>
  <c r="M67" i="3"/>
  <c r="P51" i="3"/>
  <c r="J74" i="3"/>
  <c r="G74" i="3"/>
  <c r="G50" i="3"/>
  <c r="L74" i="3"/>
  <c r="G55" i="3"/>
  <c r="H50" i="3"/>
  <c r="E67" i="3"/>
  <c r="O73" i="3"/>
  <c r="G73" i="3"/>
  <c r="I74" i="3"/>
  <c r="O51" i="3"/>
  <c r="M74" i="3"/>
  <c r="E74" i="3"/>
  <c r="O50" i="3"/>
  <c r="K74" i="3"/>
  <c r="J67" i="3"/>
  <c r="G67" i="3"/>
  <c r="N74" i="3"/>
  <c r="F74" i="3"/>
  <c r="N55" i="3"/>
  <c r="I50" i="3"/>
  <c r="F49" i="3"/>
  <c r="I67" i="3"/>
  <c r="H67" i="3"/>
  <c r="L57" i="3"/>
  <c r="L68" i="3"/>
  <c r="G57" i="3"/>
  <c r="I51" i="3"/>
  <c r="P56" i="3"/>
  <c r="M56" i="3"/>
  <c r="E56" i="3"/>
  <c r="G56" i="3"/>
  <c r="L51" i="3"/>
  <c r="G51" i="3"/>
  <c r="F62" i="3"/>
  <c r="E62" i="3"/>
  <c r="P62" i="3"/>
  <c r="N62" i="3"/>
  <c r="M62" i="3"/>
  <c r="F56" i="3"/>
  <c r="N51" i="3"/>
  <c r="O57" i="3"/>
  <c r="H57" i="3"/>
  <c r="J51" i="3"/>
  <c r="K51" i="3"/>
  <c r="N57" i="3"/>
  <c r="I57" i="3"/>
  <c r="O49" i="3"/>
  <c r="I49" i="3"/>
  <c r="H49" i="3"/>
  <c r="G49" i="3"/>
  <c r="P49" i="3"/>
  <c r="M51" i="3"/>
  <c r="J56" i="3"/>
  <c r="I62" i="3"/>
  <c r="H68" i="3"/>
  <c r="E51" i="3"/>
  <c r="K49" i="3"/>
  <c r="P50" i="3"/>
  <c r="N50" i="3"/>
  <c r="M50" i="3"/>
  <c r="F50" i="3"/>
  <c r="E50" i="3"/>
  <c r="J49" i="3"/>
  <c r="K56" i="3"/>
  <c r="K57" i="3"/>
  <c r="J62" i="3"/>
  <c r="M57" i="3"/>
  <c r="F51" i="3"/>
  <c r="L49" i="3"/>
  <c r="I56" i="3"/>
  <c r="L56" i="3"/>
  <c r="L62" i="3"/>
  <c r="N49" i="3"/>
  <c r="F59" i="3"/>
  <c r="E59" i="3"/>
  <c r="P59" i="3"/>
  <c r="O59" i="3"/>
  <c r="N59" i="3"/>
  <c r="M59" i="3"/>
  <c r="I59" i="3"/>
  <c r="H59" i="3"/>
  <c r="G59" i="3"/>
  <c r="K59" i="3"/>
  <c r="L59" i="3"/>
  <c r="J59" i="3"/>
  <c r="F47" i="3"/>
  <c r="E47" i="3"/>
  <c r="P47" i="3"/>
  <c r="O47" i="3"/>
  <c r="N47" i="3"/>
  <c r="I47" i="3"/>
  <c r="K47" i="3"/>
  <c r="J47" i="3"/>
  <c r="L47" i="3"/>
  <c r="H47" i="3"/>
  <c r="G47" i="3"/>
  <c r="M47" i="3"/>
  <c r="H76" i="3"/>
  <c r="G76" i="3"/>
  <c r="F76" i="3"/>
  <c r="E76" i="3"/>
  <c r="O76" i="3"/>
  <c r="P76" i="3"/>
  <c r="K76" i="3"/>
  <c r="L76" i="3"/>
  <c r="J76" i="3"/>
  <c r="I76" i="3"/>
  <c r="M76" i="3"/>
  <c r="N76" i="3"/>
  <c r="F77" i="3"/>
  <c r="E77" i="3"/>
  <c r="P77" i="3"/>
  <c r="O77" i="3"/>
  <c r="N77" i="3"/>
  <c r="M77" i="3"/>
  <c r="I77" i="3"/>
  <c r="K77" i="3"/>
  <c r="H77" i="3"/>
  <c r="L77" i="3"/>
  <c r="J77" i="3"/>
  <c r="G77" i="3"/>
  <c r="H64" i="3"/>
  <c r="G64" i="3"/>
  <c r="F64" i="3"/>
  <c r="O64" i="3"/>
  <c r="E64" i="3"/>
  <c r="P64" i="3"/>
  <c r="K64" i="3"/>
  <c r="L64" i="3"/>
  <c r="J64" i="3"/>
  <c r="I64" i="3"/>
  <c r="M64" i="3"/>
  <c r="N64" i="3"/>
  <c r="H52" i="3"/>
  <c r="G52" i="3"/>
  <c r="F52" i="3"/>
  <c r="E52" i="3"/>
  <c r="P52" i="3"/>
  <c r="K52" i="3"/>
  <c r="J52" i="3"/>
  <c r="I52" i="3"/>
  <c r="O52" i="3"/>
  <c r="N52" i="3"/>
  <c r="L52" i="3"/>
  <c r="M52" i="3"/>
  <c r="F53" i="3"/>
  <c r="E53" i="3"/>
  <c r="P53" i="3"/>
  <c r="O53" i="3"/>
  <c r="M53" i="3"/>
  <c r="N53" i="3"/>
  <c r="I53" i="3"/>
  <c r="J53" i="3"/>
  <c r="L53" i="3"/>
  <c r="K53" i="3"/>
  <c r="G53" i="3"/>
  <c r="H53" i="3"/>
  <c r="H58" i="3"/>
  <c r="G58" i="3"/>
  <c r="F58" i="3"/>
  <c r="O58" i="3"/>
  <c r="E58" i="3"/>
  <c r="P58" i="3"/>
  <c r="K58" i="3"/>
  <c r="J58" i="3"/>
  <c r="I58" i="3"/>
  <c r="N58" i="3"/>
  <c r="M58" i="3"/>
  <c r="L58" i="3"/>
  <c r="F65" i="3"/>
  <c r="E65" i="3"/>
  <c r="P65" i="3"/>
  <c r="O65" i="3"/>
  <c r="M65" i="3"/>
  <c r="N65" i="3"/>
  <c r="I65" i="3"/>
  <c r="L65" i="3"/>
  <c r="J65" i="3"/>
  <c r="G65" i="3"/>
  <c r="H65" i="3"/>
  <c r="K65" i="3"/>
  <c r="J75" i="3"/>
  <c r="I75" i="3"/>
  <c r="H75" i="3"/>
  <c r="G75" i="3"/>
  <c r="E75" i="3"/>
  <c r="F75" i="3"/>
  <c r="M75" i="3"/>
  <c r="P75" i="3"/>
  <c r="O75" i="3"/>
  <c r="K75" i="3"/>
  <c r="L75" i="3"/>
  <c r="N75" i="3"/>
  <c r="H70" i="3"/>
  <c r="G70" i="3"/>
  <c r="F70" i="3"/>
  <c r="E70" i="3"/>
  <c r="O70" i="3"/>
  <c r="P70" i="3"/>
  <c r="K70" i="3"/>
  <c r="L70" i="3"/>
  <c r="J70" i="3"/>
  <c r="I70" i="3"/>
  <c r="M70" i="3"/>
  <c r="N70" i="3"/>
  <c r="F71" i="3"/>
  <c r="E71" i="3"/>
  <c r="P71" i="3"/>
  <c r="M71" i="3"/>
  <c r="O71" i="3"/>
  <c r="N71" i="3"/>
  <c r="I71" i="3"/>
  <c r="H71" i="3"/>
  <c r="J71" i="3"/>
  <c r="L71" i="3"/>
  <c r="K71" i="3"/>
  <c r="G71" i="3"/>
  <c r="D75" i="2" l="1"/>
  <c r="G75" i="2" s="1"/>
  <c r="D63" i="2"/>
  <c r="F63" i="2" s="1"/>
  <c r="B63" i="2"/>
  <c r="D57" i="2"/>
  <c r="G57" i="2" s="1"/>
  <c r="B52" i="2"/>
  <c r="P51" i="2"/>
  <c r="D51" i="2"/>
  <c r="O51" i="2" s="1"/>
  <c r="D50" i="2"/>
  <c r="I50" i="2" s="1"/>
  <c r="B48" i="2"/>
  <c r="D40" i="2"/>
  <c r="H40" i="2" s="1"/>
  <c r="B40" i="2"/>
  <c r="B78" i="2" s="1"/>
  <c r="O39" i="2"/>
  <c r="J39" i="2"/>
  <c r="I39" i="2"/>
  <c r="D39" i="2"/>
  <c r="P39" i="2" s="1"/>
  <c r="B39" i="2"/>
  <c r="B77" i="2" s="1"/>
  <c r="I38" i="2"/>
  <c r="H38" i="2"/>
  <c r="G38" i="2"/>
  <c r="D38" i="2"/>
  <c r="E38" i="2" s="1"/>
  <c r="B38" i="2"/>
  <c r="B76" i="2" s="1"/>
  <c r="N37" i="2"/>
  <c r="G37" i="2"/>
  <c r="E37" i="2"/>
  <c r="D37" i="2"/>
  <c r="P37" i="2" s="1"/>
  <c r="B37" i="2"/>
  <c r="B75" i="2" s="1"/>
  <c r="M36" i="2"/>
  <c r="J36" i="2"/>
  <c r="I36" i="2"/>
  <c r="D36" i="2"/>
  <c r="D74" i="2" s="1"/>
  <c r="B36" i="2"/>
  <c r="B74" i="2" s="1"/>
  <c r="D35" i="2"/>
  <c r="E35" i="2" s="1"/>
  <c r="B35" i="2"/>
  <c r="B73" i="2" s="1"/>
  <c r="L34" i="2"/>
  <c r="D34" i="2"/>
  <c r="E34" i="2" s="1"/>
  <c r="B34" i="2"/>
  <c r="B72" i="2" s="1"/>
  <c r="M33" i="2"/>
  <c r="J33" i="2"/>
  <c r="I33" i="2"/>
  <c r="H33" i="2"/>
  <c r="G33" i="2"/>
  <c r="D33" i="2"/>
  <c r="E33" i="2" s="1"/>
  <c r="B33" i="2"/>
  <c r="B71" i="2" s="1"/>
  <c r="D32" i="2"/>
  <c r="D70" i="2" s="1"/>
  <c r="B32" i="2"/>
  <c r="B70" i="2" s="1"/>
  <c r="N31" i="2"/>
  <c r="M31" i="2"/>
  <c r="D31" i="2"/>
  <c r="P31" i="2" s="1"/>
  <c r="B31" i="2"/>
  <c r="B69" i="2" s="1"/>
  <c r="M30" i="2"/>
  <c r="L30" i="2"/>
  <c r="I30" i="2"/>
  <c r="D30" i="2"/>
  <c r="K30" i="2" s="1"/>
  <c r="B30" i="2"/>
  <c r="B68" i="2" s="1"/>
  <c r="D29" i="2"/>
  <c r="L29" i="2" s="1"/>
  <c r="B29" i="2"/>
  <c r="B67" i="2" s="1"/>
  <c r="M28" i="2"/>
  <c r="L28" i="2"/>
  <c r="K28" i="2"/>
  <c r="H28" i="2"/>
  <c r="D28" i="2"/>
  <c r="G28" i="2" s="1"/>
  <c r="B28" i="2"/>
  <c r="B66" i="2" s="1"/>
  <c r="M27" i="2"/>
  <c r="J27" i="2"/>
  <c r="I27" i="2"/>
  <c r="H27" i="2"/>
  <c r="G27" i="2"/>
  <c r="D27" i="2"/>
  <c r="D65" i="2" s="1"/>
  <c r="O65" i="2" s="1"/>
  <c r="B27" i="2"/>
  <c r="B65" i="2" s="1"/>
  <c r="K26" i="2"/>
  <c r="D26" i="2"/>
  <c r="J26" i="2" s="1"/>
  <c r="B26" i="2"/>
  <c r="B64" i="2" s="1"/>
  <c r="N25" i="2"/>
  <c r="M25" i="2"/>
  <c r="L25" i="2"/>
  <c r="I25" i="2"/>
  <c r="D25" i="2"/>
  <c r="P25" i="2" s="1"/>
  <c r="B25" i="2"/>
  <c r="M24" i="2"/>
  <c r="L24" i="2"/>
  <c r="K24" i="2"/>
  <c r="D24" i="2"/>
  <c r="G24" i="2" s="1"/>
  <c r="B24" i="2"/>
  <c r="B62" i="2" s="1"/>
  <c r="I23" i="2"/>
  <c r="D23" i="2"/>
  <c r="E23" i="2" s="1"/>
  <c r="B23" i="2"/>
  <c r="B61" i="2" s="1"/>
  <c r="M22" i="2"/>
  <c r="L22" i="2"/>
  <c r="K22" i="2"/>
  <c r="H22" i="2"/>
  <c r="G22" i="2"/>
  <c r="D22" i="2"/>
  <c r="E22" i="2" s="1"/>
  <c r="B22" i="2"/>
  <c r="B60" i="2" s="1"/>
  <c r="D21" i="2"/>
  <c r="G21" i="2" s="1"/>
  <c r="B21" i="2"/>
  <c r="B59" i="2" s="1"/>
  <c r="J20" i="2"/>
  <c r="I20" i="2"/>
  <c r="D20" i="2"/>
  <c r="E20" i="2" s="1"/>
  <c r="B20" i="2"/>
  <c r="B58" i="2" s="1"/>
  <c r="N19" i="2"/>
  <c r="M19" i="2"/>
  <c r="L19" i="2"/>
  <c r="K19" i="2"/>
  <c r="H19" i="2"/>
  <c r="G19" i="2"/>
  <c r="D19" i="2"/>
  <c r="P19" i="2" s="1"/>
  <c r="B19" i="2"/>
  <c r="B57" i="2" s="1"/>
  <c r="M18" i="2"/>
  <c r="L18" i="2"/>
  <c r="K18" i="2"/>
  <c r="J18" i="2"/>
  <c r="D18" i="2"/>
  <c r="D56" i="2" s="1"/>
  <c r="B18" i="2"/>
  <c r="B56" i="2" s="1"/>
  <c r="D17" i="2"/>
  <c r="E17" i="2" s="1"/>
  <c r="B17" i="2"/>
  <c r="B55" i="2" s="1"/>
  <c r="M16" i="2"/>
  <c r="L16" i="2"/>
  <c r="G16" i="2"/>
  <c r="D16" i="2"/>
  <c r="E16" i="2" s="1"/>
  <c r="B16" i="2"/>
  <c r="B54" i="2" s="1"/>
  <c r="D15" i="2"/>
  <c r="E15" i="2" s="1"/>
  <c r="B15" i="2"/>
  <c r="B53" i="2" s="1"/>
  <c r="K14" i="2"/>
  <c r="J14" i="2"/>
  <c r="I14" i="2"/>
  <c r="H14" i="2"/>
  <c r="G14" i="2"/>
  <c r="D14" i="2"/>
  <c r="B14" i="2"/>
  <c r="N13" i="2"/>
  <c r="M13" i="2"/>
  <c r="L13" i="2"/>
  <c r="K13" i="2"/>
  <c r="J13" i="2"/>
  <c r="I13" i="2"/>
  <c r="H13" i="2"/>
  <c r="G13" i="2"/>
  <c r="F13" i="2"/>
  <c r="E13" i="2"/>
  <c r="D13" i="2"/>
  <c r="P13" i="2" s="1"/>
  <c r="B13" i="2"/>
  <c r="B51" i="2" s="1"/>
  <c r="L12" i="2"/>
  <c r="K12" i="2"/>
  <c r="J12" i="2"/>
  <c r="I12" i="2"/>
  <c r="D12" i="2"/>
  <c r="M12" i="2" s="1"/>
  <c r="B12" i="2"/>
  <c r="B50" i="2" s="1"/>
  <c r="M11" i="2"/>
  <c r="L11" i="2"/>
  <c r="D11" i="2"/>
  <c r="K11" i="2" s="1"/>
  <c r="B11" i="2"/>
  <c r="B49" i="2" s="1"/>
  <c r="M10" i="2"/>
  <c r="L10" i="2"/>
  <c r="K10" i="2"/>
  <c r="D10" i="2"/>
  <c r="E10" i="2" s="1"/>
  <c r="B10" i="2"/>
  <c r="D9" i="2"/>
  <c r="G9" i="2" s="1"/>
  <c r="B9" i="2"/>
  <c r="B47" i="2" s="1"/>
  <c r="B2" i="2"/>
  <c r="H21" i="2" l="1"/>
  <c r="I29" i="2"/>
  <c r="J35" i="2"/>
  <c r="N39" i="2"/>
  <c r="P63" i="2"/>
  <c r="H75" i="2"/>
  <c r="I35" i="2"/>
  <c r="K35" i="2"/>
  <c r="H9" i="2"/>
  <c r="J21" i="2"/>
  <c r="J23" i="2"/>
  <c r="K29" i="2"/>
  <c r="E31" i="2"/>
  <c r="G32" i="2"/>
  <c r="L35" i="2"/>
  <c r="F37" i="2"/>
  <c r="E51" i="2"/>
  <c r="E57" i="2"/>
  <c r="D64" i="2"/>
  <c r="L64" i="2" s="1"/>
  <c r="N75" i="2"/>
  <c r="G15" i="2"/>
  <c r="H15" i="2"/>
  <c r="I75" i="2"/>
  <c r="F51" i="2"/>
  <c r="H57" i="2"/>
  <c r="O75" i="2"/>
  <c r="I15" i="2"/>
  <c r="I17" i="2"/>
  <c r="I9" i="2"/>
  <c r="I11" i="2"/>
  <c r="J17" i="2"/>
  <c r="J9" i="2"/>
  <c r="J11" i="2"/>
  <c r="M15" i="2"/>
  <c r="K17" i="2"/>
  <c r="E19" i="2"/>
  <c r="G20" i="2"/>
  <c r="L23" i="2"/>
  <c r="F25" i="2"/>
  <c r="H26" i="2"/>
  <c r="M29" i="2"/>
  <c r="G31" i="2"/>
  <c r="I32" i="2"/>
  <c r="G34" i="2"/>
  <c r="H37" i="2"/>
  <c r="J38" i="2"/>
  <c r="F40" i="2"/>
  <c r="G51" i="2"/>
  <c r="I57" i="2"/>
  <c r="P75" i="2"/>
  <c r="J29" i="2"/>
  <c r="J15" i="2"/>
  <c r="M21" i="2"/>
  <c r="K23" i="2"/>
  <c r="E25" i="2"/>
  <c r="G26" i="2"/>
  <c r="F31" i="2"/>
  <c r="H32" i="2"/>
  <c r="M35" i="2"/>
  <c r="M9" i="2"/>
  <c r="L17" i="2"/>
  <c r="F19" i="2"/>
  <c r="H20" i="2"/>
  <c r="M23" i="2"/>
  <c r="G25" i="2"/>
  <c r="I26" i="2"/>
  <c r="H31" i="2"/>
  <c r="J32" i="2"/>
  <c r="H34" i="2"/>
  <c r="I37" i="2"/>
  <c r="K38" i="2"/>
  <c r="L40" i="2"/>
  <c r="H51" i="2"/>
  <c r="N57" i="2"/>
  <c r="D68" i="2"/>
  <c r="I68" i="2" s="1"/>
  <c r="E75" i="2"/>
  <c r="I21" i="2"/>
  <c r="M17" i="2"/>
  <c r="H25" i="2"/>
  <c r="I31" i="2"/>
  <c r="K32" i="2"/>
  <c r="K34" i="2"/>
  <c r="J37" i="2"/>
  <c r="M40" i="2"/>
  <c r="I51" i="2"/>
  <c r="O57" i="2"/>
  <c r="J31" i="2"/>
  <c r="K37" i="2"/>
  <c r="N40" i="2"/>
  <c r="J51" i="2"/>
  <c r="P57" i="2"/>
  <c r="D69" i="2"/>
  <c r="I69" i="2" s="1"/>
  <c r="D77" i="2"/>
  <c r="F77" i="2" s="1"/>
  <c r="G10" i="2"/>
  <c r="H16" i="2"/>
  <c r="I19" i="2"/>
  <c r="K20" i="2"/>
  <c r="I24" i="2"/>
  <c r="J25" i="2"/>
  <c r="J30" i="2"/>
  <c r="K31" i="2"/>
  <c r="M34" i="2"/>
  <c r="K36" i="2"/>
  <c r="L37" i="2"/>
  <c r="E39" i="2"/>
  <c r="O40" i="2"/>
  <c r="N51" i="2"/>
  <c r="H10" i="2"/>
  <c r="K16" i="2"/>
  <c r="I18" i="2"/>
  <c r="J19" i="2"/>
  <c r="J24" i="2"/>
  <c r="K25" i="2"/>
  <c r="L31" i="2"/>
  <c r="L36" i="2"/>
  <c r="M37" i="2"/>
  <c r="H39" i="2"/>
  <c r="P40" i="2"/>
  <c r="O74" i="2"/>
  <c r="N74" i="2"/>
  <c r="M74" i="2"/>
  <c r="L74" i="2"/>
  <c r="H74" i="2"/>
  <c r="F74" i="2"/>
  <c r="J74" i="2"/>
  <c r="G74" i="2"/>
  <c r="P74" i="2"/>
  <c r="I74" i="2"/>
  <c r="K74" i="2"/>
  <c r="E74" i="2"/>
  <c r="K70" i="2"/>
  <c r="J70" i="2"/>
  <c r="H70" i="2"/>
  <c r="I70" i="2"/>
  <c r="M70" i="2"/>
  <c r="F70" i="2"/>
  <c r="N70" i="2"/>
  <c r="P70" i="2"/>
  <c r="O70" i="2"/>
  <c r="L70" i="2"/>
  <c r="E70" i="2"/>
  <c r="G70" i="2"/>
  <c r="O56" i="2"/>
  <c r="N56" i="2"/>
  <c r="L56" i="2"/>
  <c r="M56" i="2"/>
  <c r="J56" i="2"/>
  <c r="P56" i="2"/>
  <c r="I56" i="2"/>
  <c r="K56" i="2"/>
  <c r="F56" i="2"/>
  <c r="E56" i="2"/>
  <c r="H56" i="2"/>
  <c r="G56" i="2"/>
  <c r="E50" i="2"/>
  <c r="E65" i="2"/>
  <c r="F50" i="2"/>
  <c r="L9" i="2"/>
  <c r="K9" i="2"/>
  <c r="D49" i="2"/>
  <c r="H11" i="2"/>
  <c r="G11" i="2"/>
  <c r="F12" i="2"/>
  <c r="E12" i="2"/>
  <c r="N14" i="2"/>
  <c r="M14" i="2"/>
  <c r="L21" i="2"/>
  <c r="K21" i="2"/>
  <c r="N26" i="2"/>
  <c r="M26" i="2"/>
  <c r="L27" i="2"/>
  <c r="K27" i="2"/>
  <c r="J28" i="2"/>
  <c r="I28" i="2"/>
  <c r="D66" i="2"/>
  <c r="D67" i="2"/>
  <c r="H29" i="2"/>
  <c r="G29" i="2"/>
  <c r="F30" i="2"/>
  <c r="E30" i="2"/>
  <c r="E9" i="2"/>
  <c r="E11" i="2"/>
  <c r="G12" i="2"/>
  <c r="E14" i="2"/>
  <c r="G18" i="2"/>
  <c r="E21" i="2"/>
  <c r="E26" i="2"/>
  <c r="E27" i="2"/>
  <c r="E28" i="2"/>
  <c r="E29" i="2"/>
  <c r="G30" i="2"/>
  <c r="E32" i="2"/>
  <c r="G36" i="2"/>
  <c r="F39" i="2"/>
  <c r="G40" i="2"/>
  <c r="D52" i="2"/>
  <c r="F57" i="2"/>
  <c r="N63" i="2"/>
  <c r="P64" i="2"/>
  <c r="P68" i="2"/>
  <c r="F75" i="2"/>
  <c r="N77" i="2"/>
  <c r="J10" i="2"/>
  <c r="I10" i="2"/>
  <c r="L15" i="2"/>
  <c r="K15" i="2"/>
  <c r="J16" i="2"/>
  <c r="I16" i="2"/>
  <c r="D54" i="2"/>
  <c r="D55" i="2"/>
  <c r="H17" i="2"/>
  <c r="G17" i="2"/>
  <c r="F18" i="2"/>
  <c r="E18" i="2"/>
  <c r="N20" i="2"/>
  <c r="M20" i="2"/>
  <c r="J22" i="2"/>
  <c r="D60" i="2"/>
  <c r="I22" i="2"/>
  <c r="D61" i="2"/>
  <c r="H23" i="2"/>
  <c r="G23" i="2"/>
  <c r="F24" i="2"/>
  <c r="E24" i="2"/>
  <c r="N32" i="2"/>
  <c r="M32" i="2"/>
  <c r="L33" i="2"/>
  <c r="K33" i="2"/>
  <c r="J34" i="2"/>
  <c r="D72" i="2"/>
  <c r="I34" i="2"/>
  <c r="D73" i="2"/>
  <c r="H35" i="2"/>
  <c r="G35" i="2"/>
  <c r="F36" i="2"/>
  <c r="E36" i="2"/>
  <c r="O38" i="2"/>
  <c r="N38" i="2"/>
  <c r="M38" i="2"/>
  <c r="P50" i="2"/>
  <c r="I63" i="2"/>
  <c r="O64" i="2"/>
  <c r="K68" i="2"/>
  <c r="F9" i="2"/>
  <c r="F10" i="2"/>
  <c r="F11" i="2"/>
  <c r="H12" i="2"/>
  <c r="F14" i="2"/>
  <c r="F15" i="2"/>
  <c r="F16" i="2"/>
  <c r="F17" i="2"/>
  <c r="H18" i="2"/>
  <c r="F20" i="2"/>
  <c r="F21" i="2"/>
  <c r="F22" i="2"/>
  <c r="F23" i="2"/>
  <c r="H24" i="2"/>
  <c r="F26" i="2"/>
  <c r="F27" i="2"/>
  <c r="F28" i="2"/>
  <c r="F29" i="2"/>
  <c r="H30" i="2"/>
  <c r="F32" i="2"/>
  <c r="F33" i="2"/>
  <c r="F34" i="2"/>
  <c r="F35" i="2"/>
  <c r="H36" i="2"/>
  <c r="F38" i="2"/>
  <c r="G39" i="2"/>
  <c r="M51" i="2"/>
  <c r="L51" i="2"/>
  <c r="K51" i="2"/>
  <c r="O63" i="2"/>
  <c r="O77" i="2"/>
  <c r="E69" i="2"/>
  <c r="J65" i="2"/>
  <c r="E64" i="2"/>
  <c r="N9" i="2"/>
  <c r="N10" i="2"/>
  <c r="N11" i="2"/>
  <c r="N12" i="2"/>
  <c r="L14" i="2"/>
  <c r="N15" i="2"/>
  <c r="N16" i="2"/>
  <c r="N17" i="2"/>
  <c r="N18" i="2"/>
  <c r="L20" i="2"/>
  <c r="N21" i="2"/>
  <c r="N22" i="2"/>
  <c r="N23" i="2"/>
  <c r="N24" i="2"/>
  <c r="L26" i="2"/>
  <c r="N27" i="2"/>
  <c r="N28" i="2"/>
  <c r="N29" i="2"/>
  <c r="N30" i="2"/>
  <c r="L32" i="2"/>
  <c r="N33" i="2"/>
  <c r="N34" i="2"/>
  <c r="N35" i="2"/>
  <c r="N36" i="2"/>
  <c r="L38" i="2"/>
  <c r="D48" i="2"/>
  <c r="E63" i="2"/>
  <c r="G64" i="2"/>
  <c r="M65" i="2"/>
  <c r="G68" i="2"/>
  <c r="O50" i="2"/>
  <c r="N50" i="2"/>
  <c r="M50" i="2"/>
  <c r="M69" i="2"/>
  <c r="L69" i="2"/>
  <c r="K69" i="2"/>
  <c r="J69" i="2"/>
  <c r="F69" i="2"/>
  <c r="G50" i="2"/>
  <c r="K65" i="2"/>
  <c r="D59" i="2"/>
  <c r="H77" i="2"/>
  <c r="G77" i="2"/>
  <c r="O11" i="2"/>
  <c r="O14" i="2"/>
  <c r="O15" i="2"/>
  <c r="O16" i="2"/>
  <c r="O17" i="2"/>
  <c r="O18" i="2"/>
  <c r="O20" i="2"/>
  <c r="O21" i="2"/>
  <c r="O22" i="2"/>
  <c r="O23" i="2"/>
  <c r="O24" i="2"/>
  <c r="O26" i="2"/>
  <c r="O27" i="2"/>
  <c r="O28" i="2"/>
  <c r="O29" i="2"/>
  <c r="O30" i="2"/>
  <c r="O32" i="2"/>
  <c r="O33" i="2"/>
  <c r="O34" i="2"/>
  <c r="O35" i="2"/>
  <c r="O36" i="2"/>
  <c r="P38" i="2"/>
  <c r="D47" i="2"/>
  <c r="J50" i="2"/>
  <c r="D58" i="2"/>
  <c r="D62" i="2"/>
  <c r="N65" i="2"/>
  <c r="H68" i="2"/>
  <c r="N69" i="2"/>
  <c r="D76" i="2"/>
  <c r="K64" i="2"/>
  <c r="J64" i="2"/>
  <c r="I64" i="2"/>
  <c r="H64" i="2"/>
  <c r="M63" i="2"/>
  <c r="L63" i="2"/>
  <c r="J63" i="2"/>
  <c r="K63" i="2"/>
  <c r="F64" i="2"/>
  <c r="L65" i="2"/>
  <c r="F68" i="2"/>
  <c r="O9" i="2"/>
  <c r="O10" i="2"/>
  <c r="O12" i="2"/>
  <c r="P9" i="2"/>
  <c r="P10" i="2"/>
  <c r="P12" i="2"/>
  <c r="P14" i="2"/>
  <c r="P15" i="2"/>
  <c r="P16" i="2"/>
  <c r="P17" i="2"/>
  <c r="P18" i="2"/>
  <c r="P21" i="2"/>
  <c r="P26" i="2"/>
  <c r="P27" i="2"/>
  <c r="P28" i="2"/>
  <c r="P29" i="2"/>
  <c r="P30" i="2"/>
  <c r="P32" i="2"/>
  <c r="P33" i="2"/>
  <c r="P34" i="2"/>
  <c r="P35" i="2"/>
  <c r="P36" i="2"/>
  <c r="K40" i="2"/>
  <c r="J40" i="2"/>
  <c r="D78" i="2"/>
  <c r="I40" i="2"/>
  <c r="K50" i="2"/>
  <c r="G63" i="2"/>
  <c r="M64" i="2"/>
  <c r="O69" i="2"/>
  <c r="K77" i="2"/>
  <c r="I65" i="2"/>
  <c r="H65" i="2"/>
  <c r="F65" i="2"/>
  <c r="G65" i="2"/>
  <c r="O68" i="2"/>
  <c r="N68" i="2"/>
  <c r="L68" i="2"/>
  <c r="M68" i="2"/>
  <c r="E68" i="2"/>
  <c r="G69" i="2"/>
  <c r="H50" i="2"/>
  <c r="H69" i="2"/>
  <c r="P11" i="2"/>
  <c r="P20" i="2"/>
  <c r="P22" i="2"/>
  <c r="P23" i="2"/>
  <c r="P24" i="2"/>
  <c r="M39" i="2"/>
  <c r="L39" i="2"/>
  <c r="K39" i="2"/>
  <c r="E40" i="2"/>
  <c r="L50" i="2"/>
  <c r="D53" i="2"/>
  <c r="M57" i="2"/>
  <c r="L57" i="2"/>
  <c r="K57" i="2"/>
  <c r="J57" i="2"/>
  <c r="H63" i="2"/>
  <c r="N64" i="2"/>
  <c r="P65" i="2"/>
  <c r="J68" i="2"/>
  <c r="P69" i="2"/>
  <c r="D71" i="2"/>
  <c r="M75" i="2"/>
  <c r="L75" i="2"/>
  <c r="J75" i="2"/>
  <c r="K75" i="2"/>
  <c r="O13" i="2"/>
  <c r="O19" i="2"/>
  <c r="O25" i="2"/>
  <c r="O31" i="2"/>
  <c r="O37" i="2"/>
  <c r="E77" i="2" l="1"/>
  <c r="P77" i="2"/>
  <c r="I77" i="2"/>
  <c r="J77" i="2"/>
  <c r="L77" i="2"/>
  <c r="M77" i="2"/>
  <c r="G54" i="2"/>
  <c r="F54" i="2"/>
  <c r="P54" i="2"/>
  <c r="E54" i="2"/>
  <c r="J54" i="2"/>
  <c r="I54" i="2"/>
  <c r="H54" i="2"/>
  <c r="N54" i="2"/>
  <c r="M54" i="2"/>
  <c r="K54" i="2"/>
  <c r="O54" i="2"/>
  <c r="L54" i="2"/>
  <c r="G48" i="2"/>
  <c r="F48" i="2"/>
  <c r="E48" i="2"/>
  <c r="J48" i="2"/>
  <c r="I48" i="2"/>
  <c r="H48" i="2"/>
  <c r="P48" i="2"/>
  <c r="N48" i="2"/>
  <c r="M48" i="2"/>
  <c r="K48" i="2"/>
  <c r="O48" i="2"/>
  <c r="L48" i="2"/>
  <c r="I47" i="2"/>
  <c r="H47" i="2"/>
  <c r="G47" i="2"/>
  <c r="F47" i="2"/>
  <c r="P47" i="2"/>
  <c r="E47" i="2"/>
  <c r="O47" i="2"/>
  <c r="M47" i="2"/>
  <c r="L47" i="2"/>
  <c r="K47" i="2"/>
  <c r="J47" i="2"/>
  <c r="N47" i="2"/>
  <c r="I71" i="2"/>
  <c r="H71" i="2"/>
  <c r="G71" i="2"/>
  <c r="F71" i="2"/>
  <c r="P71" i="2"/>
  <c r="O71" i="2"/>
  <c r="L71" i="2"/>
  <c r="K71" i="2"/>
  <c r="E71" i="2"/>
  <c r="M71" i="2"/>
  <c r="J71" i="2"/>
  <c r="N71" i="2"/>
  <c r="K76" i="2"/>
  <c r="J76" i="2"/>
  <c r="I76" i="2"/>
  <c r="H76" i="2"/>
  <c r="F76" i="2"/>
  <c r="E76" i="2"/>
  <c r="P76" i="2"/>
  <c r="N76" i="2"/>
  <c r="M76" i="2"/>
  <c r="G76" i="2"/>
  <c r="L76" i="2"/>
  <c r="O76" i="2"/>
  <c r="E73" i="2"/>
  <c r="P73" i="2"/>
  <c r="N73" i="2"/>
  <c r="O73" i="2"/>
  <c r="L73" i="2"/>
  <c r="K73" i="2"/>
  <c r="H73" i="2"/>
  <c r="F73" i="2"/>
  <c r="J73" i="2"/>
  <c r="I73" i="2"/>
  <c r="G73" i="2"/>
  <c r="M73" i="2"/>
  <c r="E67" i="2"/>
  <c r="P67" i="2"/>
  <c r="O67" i="2"/>
  <c r="N67" i="2"/>
  <c r="H67" i="2"/>
  <c r="M67" i="2"/>
  <c r="G67" i="2"/>
  <c r="L67" i="2"/>
  <c r="F67" i="2"/>
  <c r="K67" i="2"/>
  <c r="I67" i="2"/>
  <c r="J67" i="2"/>
  <c r="I59" i="2"/>
  <c r="H59" i="2"/>
  <c r="G59" i="2"/>
  <c r="F59" i="2"/>
  <c r="L59" i="2"/>
  <c r="K59" i="2"/>
  <c r="J59" i="2"/>
  <c r="P59" i="2"/>
  <c r="E59" i="2"/>
  <c r="O59" i="2"/>
  <c r="M59" i="2"/>
  <c r="N59" i="2"/>
  <c r="H78" i="2"/>
  <c r="G78" i="2"/>
  <c r="F78" i="2"/>
  <c r="E78" i="2"/>
  <c r="P78" i="2"/>
  <c r="O78" i="2"/>
  <c r="J78" i="2"/>
  <c r="N78" i="2"/>
  <c r="K78" i="2"/>
  <c r="M78" i="2"/>
  <c r="L78" i="2"/>
  <c r="I78" i="2"/>
  <c r="E61" i="2"/>
  <c r="P61" i="2"/>
  <c r="N61" i="2"/>
  <c r="O61" i="2"/>
  <c r="K61" i="2"/>
  <c r="I61" i="2"/>
  <c r="L61" i="2"/>
  <c r="J61" i="2"/>
  <c r="M61" i="2"/>
  <c r="H61" i="2"/>
  <c r="G61" i="2"/>
  <c r="F61" i="2"/>
  <c r="G72" i="2"/>
  <c r="F72" i="2"/>
  <c r="E72" i="2"/>
  <c r="P72" i="2"/>
  <c r="J72" i="2"/>
  <c r="O72" i="2"/>
  <c r="I72" i="2"/>
  <c r="N72" i="2"/>
  <c r="H72" i="2"/>
  <c r="M72" i="2"/>
  <c r="K72" i="2"/>
  <c r="L72" i="2"/>
  <c r="E55" i="2"/>
  <c r="P55" i="2"/>
  <c r="O55" i="2"/>
  <c r="N55" i="2"/>
  <c r="L55" i="2"/>
  <c r="K55" i="2"/>
  <c r="H55" i="2"/>
  <c r="J55" i="2"/>
  <c r="I55" i="2"/>
  <c r="F55" i="2"/>
  <c r="M55" i="2"/>
  <c r="G55" i="2"/>
  <c r="E49" i="2"/>
  <c r="P49" i="2"/>
  <c r="O49" i="2"/>
  <c r="K49" i="2"/>
  <c r="G49" i="2"/>
  <c r="J49" i="2"/>
  <c r="I49" i="2"/>
  <c r="F49" i="2"/>
  <c r="H49" i="2"/>
  <c r="N49" i="2"/>
  <c r="L49" i="2"/>
  <c r="M49" i="2"/>
  <c r="O62" i="2"/>
  <c r="N62" i="2"/>
  <c r="M62" i="2"/>
  <c r="L62" i="2"/>
  <c r="F62" i="2"/>
  <c r="E62" i="2"/>
  <c r="J62" i="2"/>
  <c r="I62" i="2"/>
  <c r="G62" i="2"/>
  <c r="K62" i="2"/>
  <c r="H62" i="2"/>
  <c r="P62" i="2"/>
  <c r="G66" i="2"/>
  <c r="F66" i="2"/>
  <c r="P66" i="2"/>
  <c r="E66" i="2"/>
  <c r="M66" i="2"/>
  <c r="K66" i="2"/>
  <c r="N66" i="2"/>
  <c r="L66" i="2"/>
  <c r="O66" i="2"/>
  <c r="J66" i="2"/>
  <c r="I66" i="2"/>
  <c r="H66" i="2"/>
  <c r="K52" i="2"/>
  <c r="J52" i="2"/>
  <c r="I52" i="2"/>
  <c r="H52" i="2"/>
  <c r="N52" i="2"/>
  <c r="L52" i="2"/>
  <c r="P52" i="2"/>
  <c r="M52" i="2"/>
  <c r="F52" i="2"/>
  <c r="O52" i="2"/>
  <c r="E52" i="2"/>
  <c r="G52" i="2"/>
  <c r="K58" i="2"/>
  <c r="J58" i="2"/>
  <c r="H58" i="2"/>
  <c r="I58" i="2"/>
  <c r="F58" i="2"/>
  <c r="E58" i="2"/>
  <c r="P58" i="2"/>
  <c r="N58" i="2"/>
  <c r="M58" i="2"/>
  <c r="G58" i="2"/>
  <c r="L58" i="2"/>
  <c r="O58" i="2"/>
  <c r="G60" i="2"/>
  <c r="F60" i="2"/>
  <c r="E60" i="2"/>
  <c r="P60" i="2"/>
  <c r="N60" i="2"/>
  <c r="M60" i="2"/>
  <c r="L60" i="2"/>
  <c r="J60" i="2"/>
  <c r="I60" i="2"/>
  <c r="K60" i="2"/>
  <c r="H60" i="2"/>
  <c r="O60" i="2"/>
  <c r="I53" i="2"/>
  <c r="H53" i="2"/>
  <c r="F53" i="2"/>
  <c r="G53" i="2"/>
  <c r="O53" i="2"/>
  <c r="M53" i="2"/>
  <c r="P53" i="2"/>
  <c r="N53" i="2"/>
  <c r="L53" i="2"/>
  <c r="K53" i="2"/>
  <c r="E53" i="2"/>
  <c r="J53" i="2"/>
  <c r="B76" i="1" l="1"/>
  <c r="D68" i="1"/>
  <c r="D55" i="1"/>
  <c r="N55" i="1" s="1"/>
  <c r="D49" i="1"/>
  <c r="N49" i="1" s="1"/>
  <c r="D40" i="1"/>
  <c r="P40" i="1" s="1"/>
  <c r="B40" i="1"/>
  <c r="B78" i="1" s="1"/>
  <c r="D39" i="1"/>
  <c r="B39" i="1"/>
  <c r="B77" i="1" s="1"/>
  <c r="D38" i="1"/>
  <c r="P38" i="1" s="1"/>
  <c r="B38" i="1"/>
  <c r="D37" i="1"/>
  <c r="N37" i="1" s="1"/>
  <c r="B37" i="1"/>
  <c r="B75" i="1" s="1"/>
  <c r="L36" i="1"/>
  <c r="K36" i="1"/>
  <c r="J36" i="1"/>
  <c r="I36" i="1"/>
  <c r="F36" i="1"/>
  <c r="D36" i="1"/>
  <c r="P36" i="1" s="1"/>
  <c r="B36" i="1"/>
  <c r="B74" i="1" s="1"/>
  <c r="N35" i="1"/>
  <c r="L35" i="1"/>
  <c r="K35" i="1"/>
  <c r="J35" i="1"/>
  <c r="I35" i="1"/>
  <c r="F35" i="1"/>
  <c r="D35" i="1"/>
  <c r="P35" i="1" s="1"/>
  <c r="B35" i="1"/>
  <c r="B73" i="1" s="1"/>
  <c r="P34" i="1"/>
  <c r="O34" i="1"/>
  <c r="N34" i="1"/>
  <c r="M34" i="1"/>
  <c r="L34" i="1"/>
  <c r="I34" i="1"/>
  <c r="D34" i="1"/>
  <c r="B34" i="1"/>
  <c r="B72" i="1" s="1"/>
  <c r="P33" i="1"/>
  <c r="D33" i="1"/>
  <c r="B33" i="1"/>
  <c r="B71" i="1" s="1"/>
  <c r="P32" i="1"/>
  <c r="M32" i="1"/>
  <c r="D32" i="1"/>
  <c r="H32" i="1" s="1"/>
  <c r="B32" i="1"/>
  <c r="B70" i="1" s="1"/>
  <c r="D31" i="1"/>
  <c r="N31" i="1" s="1"/>
  <c r="B31" i="1"/>
  <c r="B69" i="1" s="1"/>
  <c r="L30" i="1"/>
  <c r="K30" i="1"/>
  <c r="J30" i="1"/>
  <c r="I30" i="1"/>
  <c r="F30" i="1"/>
  <c r="D30" i="1"/>
  <c r="P30" i="1" s="1"/>
  <c r="B30" i="1"/>
  <c r="B68" i="1" s="1"/>
  <c r="N29" i="1"/>
  <c r="L29" i="1"/>
  <c r="K29" i="1"/>
  <c r="J29" i="1"/>
  <c r="I29" i="1"/>
  <c r="F29" i="1"/>
  <c r="D29" i="1"/>
  <c r="P29" i="1" s="1"/>
  <c r="B29" i="1"/>
  <c r="B67" i="1" s="1"/>
  <c r="P28" i="1"/>
  <c r="D28" i="1"/>
  <c r="L28" i="1" s="1"/>
  <c r="B28" i="1"/>
  <c r="B66" i="1" s="1"/>
  <c r="P27" i="1"/>
  <c r="N27" i="1"/>
  <c r="D27" i="1"/>
  <c r="O27" i="1" s="1"/>
  <c r="B27" i="1"/>
  <c r="B65" i="1" s="1"/>
  <c r="H26" i="1"/>
  <c r="D26" i="1"/>
  <c r="M26" i="1" s="1"/>
  <c r="B26" i="1"/>
  <c r="B64" i="1" s="1"/>
  <c r="D25" i="1"/>
  <c r="G25" i="1" s="1"/>
  <c r="B25" i="1"/>
  <c r="B63" i="1" s="1"/>
  <c r="L24" i="1"/>
  <c r="K24" i="1"/>
  <c r="J24" i="1"/>
  <c r="I24" i="1"/>
  <c r="F24" i="1"/>
  <c r="D24" i="1"/>
  <c r="P24" i="1" s="1"/>
  <c r="B24" i="1"/>
  <c r="B62" i="1" s="1"/>
  <c r="N23" i="1"/>
  <c r="L23" i="1"/>
  <c r="K23" i="1"/>
  <c r="J23" i="1"/>
  <c r="I23" i="1"/>
  <c r="F23" i="1"/>
  <c r="D23" i="1"/>
  <c r="P23" i="1" s="1"/>
  <c r="B23" i="1"/>
  <c r="B61" i="1" s="1"/>
  <c r="D22" i="1"/>
  <c r="B22" i="1"/>
  <c r="B60" i="1" s="1"/>
  <c r="D21" i="1"/>
  <c r="B21" i="1"/>
  <c r="B59" i="1" s="1"/>
  <c r="D20" i="1"/>
  <c r="B20" i="1"/>
  <c r="B58" i="1" s="1"/>
  <c r="D19" i="1"/>
  <c r="I19" i="1" s="1"/>
  <c r="B19" i="1"/>
  <c r="B57" i="1" s="1"/>
  <c r="D18" i="1"/>
  <c r="L18" i="1" s="1"/>
  <c r="B18" i="1"/>
  <c r="B56" i="1" s="1"/>
  <c r="L17" i="1"/>
  <c r="I17" i="1"/>
  <c r="H17" i="1"/>
  <c r="G17" i="1"/>
  <c r="D17" i="1"/>
  <c r="P17" i="1" s="1"/>
  <c r="B17" i="1"/>
  <c r="B55" i="1" s="1"/>
  <c r="D16" i="1"/>
  <c r="O16" i="1" s="1"/>
  <c r="B16" i="1"/>
  <c r="B54" i="1" s="1"/>
  <c r="D15" i="1"/>
  <c r="B15" i="1"/>
  <c r="B53" i="1" s="1"/>
  <c r="D14" i="1"/>
  <c r="D52" i="1" s="1"/>
  <c r="B14" i="1"/>
  <c r="B52" i="1" s="1"/>
  <c r="D13" i="1"/>
  <c r="E13" i="1" s="1"/>
  <c r="B13" i="1"/>
  <c r="B51" i="1" s="1"/>
  <c r="D12" i="1"/>
  <c r="B12" i="1"/>
  <c r="B50" i="1" s="1"/>
  <c r="N11" i="1"/>
  <c r="L11" i="1"/>
  <c r="K11" i="1"/>
  <c r="J11" i="1"/>
  <c r="I11" i="1"/>
  <c r="H11" i="1"/>
  <c r="G11" i="1"/>
  <c r="F11" i="1"/>
  <c r="E11" i="1"/>
  <c r="D11" i="1"/>
  <c r="P11" i="1" s="1"/>
  <c r="B11" i="1"/>
  <c r="B49" i="1" s="1"/>
  <c r="D10" i="1"/>
  <c r="N10" i="1" s="1"/>
  <c r="B10" i="1"/>
  <c r="B48" i="1" s="1"/>
  <c r="D9" i="1"/>
  <c r="E9" i="1" s="1"/>
  <c r="B9" i="1"/>
  <c r="B47" i="1" s="1"/>
  <c r="B2" i="1"/>
  <c r="M17" i="1" l="1"/>
  <c r="E25" i="1"/>
  <c r="N26" i="1"/>
  <c r="E31" i="1"/>
  <c r="G37" i="1"/>
  <c r="O40" i="1"/>
  <c r="G55" i="1"/>
  <c r="D69" i="1"/>
  <c r="F37" i="1"/>
  <c r="N40" i="1"/>
  <c r="F55" i="1"/>
  <c r="N17" i="1"/>
  <c r="F25" i="1"/>
  <c r="O26" i="1"/>
  <c r="F31" i="1"/>
  <c r="M11" i="1"/>
  <c r="E23" i="1"/>
  <c r="E24" i="1"/>
  <c r="H25" i="1"/>
  <c r="P26" i="1"/>
  <c r="E29" i="1"/>
  <c r="E30" i="1"/>
  <c r="G31" i="1"/>
  <c r="E35" i="1"/>
  <c r="E36" i="1"/>
  <c r="H37" i="1"/>
  <c r="H55" i="1"/>
  <c r="D62" i="1"/>
  <c r="P62" i="1" s="1"/>
  <c r="D74" i="1"/>
  <c r="P74" i="1" s="1"/>
  <c r="I25" i="1"/>
  <c r="H31" i="1"/>
  <c r="I55" i="1"/>
  <c r="D63" i="1"/>
  <c r="O63" i="1" s="1"/>
  <c r="E17" i="1"/>
  <c r="G23" i="1"/>
  <c r="G24" i="1"/>
  <c r="J25" i="1"/>
  <c r="G29" i="1"/>
  <c r="G30" i="1"/>
  <c r="I31" i="1"/>
  <c r="G35" i="1"/>
  <c r="G36" i="1"/>
  <c r="J37" i="1"/>
  <c r="F49" i="1"/>
  <c r="J55" i="1"/>
  <c r="I37" i="1"/>
  <c r="F17" i="1"/>
  <c r="H23" i="1"/>
  <c r="H24" i="1"/>
  <c r="O25" i="1"/>
  <c r="M27" i="1"/>
  <c r="H29" i="1"/>
  <c r="H30" i="1"/>
  <c r="J31" i="1"/>
  <c r="H35" i="1"/>
  <c r="H36" i="1"/>
  <c r="O37" i="1"/>
  <c r="G49" i="1"/>
  <c r="O55" i="1"/>
  <c r="D67" i="1"/>
  <c r="D75" i="1"/>
  <c r="M75" i="1" s="1"/>
  <c r="P25" i="1"/>
  <c r="O31" i="1"/>
  <c r="H49" i="1"/>
  <c r="I49" i="1"/>
  <c r="D61" i="1"/>
  <c r="D73" i="1"/>
  <c r="J49" i="1"/>
  <c r="J17" i="1"/>
  <c r="O49" i="1"/>
  <c r="E26" i="1"/>
  <c r="F32" i="1"/>
  <c r="K17" i="1"/>
  <c r="M23" i="1"/>
  <c r="G26" i="1"/>
  <c r="O28" i="1"/>
  <c r="M29" i="1"/>
  <c r="G32" i="1"/>
  <c r="M35" i="1"/>
  <c r="H52" i="1"/>
  <c r="G52" i="1"/>
  <c r="F52" i="1"/>
  <c r="E52" i="1"/>
  <c r="K52" i="1"/>
  <c r="J52" i="1"/>
  <c r="I52" i="1"/>
  <c r="P52" i="1"/>
  <c r="O52" i="1"/>
  <c r="L52" i="1"/>
  <c r="N52" i="1"/>
  <c r="M52" i="1"/>
  <c r="J39" i="1"/>
  <c r="I39" i="1"/>
  <c r="D77" i="1"/>
  <c r="H39" i="1"/>
  <c r="G39" i="1"/>
  <c r="M39" i="1"/>
  <c r="L39" i="1"/>
  <c r="N12" i="1"/>
  <c r="M12" i="1"/>
  <c r="D53" i="1"/>
  <c r="H15" i="1"/>
  <c r="G15" i="1"/>
  <c r="J20" i="1"/>
  <c r="D58" i="1"/>
  <c r="I20" i="1"/>
  <c r="D59" i="1"/>
  <c r="H21" i="1"/>
  <c r="G21" i="1"/>
  <c r="D60" i="1"/>
  <c r="F22" i="1"/>
  <c r="E22" i="1"/>
  <c r="E39" i="1"/>
  <c r="J69" i="1"/>
  <c r="I69" i="1"/>
  <c r="H69" i="1"/>
  <c r="G69" i="1"/>
  <c r="F69" i="1"/>
  <c r="M69" i="1"/>
  <c r="L69" i="1"/>
  <c r="G10" i="1"/>
  <c r="E12" i="1"/>
  <c r="E14" i="1"/>
  <c r="E15" i="1"/>
  <c r="G16" i="1"/>
  <c r="E18" i="1"/>
  <c r="E19" i="1"/>
  <c r="E20" i="1"/>
  <c r="E21" i="1"/>
  <c r="G22" i="1"/>
  <c r="D72" i="1"/>
  <c r="H34" i="1"/>
  <c r="G34" i="1"/>
  <c r="F34" i="1"/>
  <c r="E34" i="1"/>
  <c r="K34" i="1"/>
  <c r="J34" i="1"/>
  <c r="F39" i="1"/>
  <c r="E69" i="1"/>
  <c r="F75" i="1"/>
  <c r="L13" i="1"/>
  <c r="K13" i="1"/>
  <c r="F13" i="1"/>
  <c r="F14" i="1"/>
  <c r="F15" i="1"/>
  <c r="F18" i="1"/>
  <c r="F19" i="1"/>
  <c r="F20" i="1"/>
  <c r="H22" i="1"/>
  <c r="H14" i="1"/>
  <c r="K10" i="1"/>
  <c r="K14" i="1"/>
  <c r="I18" i="1"/>
  <c r="I28" i="1"/>
  <c r="J33" i="1"/>
  <c r="I33" i="1"/>
  <c r="D71" i="1"/>
  <c r="H33" i="1"/>
  <c r="G33" i="1"/>
  <c r="M33" i="1"/>
  <c r="L33" i="1"/>
  <c r="F38" i="1"/>
  <c r="P39" i="1"/>
  <c r="E62" i="1"/>
  <c r="L68" i="1"/>
  <c r="K68" i="1"/>
  <c r="J68" i="1"/>
  <c r="I68" i="1"/>
  <c r="H68" i="1"/>
  <c r="O68" i="1"/>
  <c r="N68" i="1"/>
  <c r="P69" i="1"/>
  <c r="G12" i="1"/>
  <c r="G13" i="1"/>
  <c r="G14" i="1"/>
  <c r="I15" i="1"/>
  <c r="I16" i="1"/>
  <c r="G18" i="1"/>
  <c r="G20" i="1"/>
  <c r="I22" i="1"/>
  <c r="H18" i="1"/>
  <c r="H19" i="1"/>
  <c r="H20" i="1"/>
  <c r="J21" i="1"/>
  <c r="J22" i="1"/>
  <c r="K22" i="1"/>
  <c r="J12" i="1"/>
  <c r="J27" i="1"/>
  <c r="I27" i="1"/>
  <c r="D65" i="1"/>
  <c r="H27" i="1"/>
  <c r="G27" i="1"/>
  <c r="J28" i="1"/>
  <c r="E33" i="1"/>
  <c r="G38" i="1"/>
  <c r="D51" i="1"/>
  <c r="F62" i="1"/>
  <c r="E68" i="1"/>
  <c r="L74" i="1"/>
  <c r="K74" i="1"/>
  <c r="J74" i="1"/>
  <c r="H74" i="1"/>
  <c r="I74" i="1"/>
  <c r="O74" i="1"/>
  <c r="N74" i="1"/>
  <c r="D47" i="1"/>
  <c r="H9" i="1"/>
  <c r="G9" i="1"/>
  <c r="L19" i="1"/>
  <c r="K19" i="1"/>
  <c r="H10" i="1"/>
  <c r="H16" i="1"/>
  <c r="K39" i="1"/>
  <c r="I9" i="1"/>
  <c r="D56" i="1"/>
  <c r="J9" i="1"/>
  <c r="O39" i="1"/>
  <c r="L16" i="1"/>
  <c r="M9" i="1"/>
  <c r="M10" i="1"/>
  <c r="M13" i="1"/>
  <c r="K18" i="1"/>
  <c r="M19" i="1"/>
  <c r="M20" i="1"/>
  <c r="M21" i="1"/>
  <c r="M22" i="1"/>
  <c r="E27" i="1"/>
  <c r="K28" i="1"/>
  <c r="F33" i="1"/>
  <c r="H38" i="1"/>
  <c r="D78" i="1"/>
  <c r="H40" i="1"/>
  <c r="G40" i="1"/>
  <c r="F40" i="1"/>
  <c r="E40" i="1"/>
  <c r="K40" i="1"/>
  <c r="J40" i="1"/>
  <c r="G62" i="1"/>
  <c r="F68" i="1"/>
  <c r="E74" i="1"/>
  <c r="J14" i="1"/>
  <c r="I14" i="1"/>
  <c r="F21" i="1"/>
  <c r="G19" i="1"/>
  <c r="I21" i="1"/>
  <c r="J10" i="1"/>
  <c r="H12" i="1"/>
  <c r="J16" i="1"/>
  <c r="L9" i="1"/>
  <c r="L10" i="1"/>
  <c r="L14" i="1"/>
  <c r="L20" i="1"/>
  <c r="K12" i="1"/>
  <c r="M14" i="1"/>
  <c r="M15" i="1"/>
  <c r="M16" i="1"/>
  <c r="N9" i="1"/>
  <c r="L12" i="1"/>
  <c r="N13" i="1"/>
  <c r="N14" i="1"/>
  <c r="N15" i="1"/>
  <c r="N16" i="1"/>
  <c r="N19" i="1"/>
  <c r="N20" i="1"/>
  <c r="N21" i="1"/>
  <c r="N22" i="1"/>
  <c r="L26" i="1"/>
  <c r="K26" i="1"/>
  <c r="J26" i="1"/>
  <c r="I26" i="1"/>
  <c r="D64" i="1"/>
  <c r="F27" i="1"/>
  <c r="K33" i="1"/>
  <c r="M38" i="1"/>
  <c r="I40" i="1"/>
  <c r="M62" i="1"/>
  <c r="G68" i="1"/>
  <c r="F74" i="1"/>
  <c r="N18" i="1"/>
  <c r="M18" i="1"/>
  <c r="F12" i="1"/>
  <c r="H13" i="1"/>
  <c r="D66" i="1"/>
  <c r="H28" i="1"/>
  <c r="G28" i="1"/>
  <c r="F28" i="1"/>
  <c r="E28" i="1"/>
  <c r="I12" i="1"/>
  <c r="K15" i="1"/>
  <c r="K20" i="1"/>
  <c r="J13" i="1"/>
  <c r="L15" i="1"/>
  <c r="J18" i="1"/>
  <c r="L22" i="1"/>
  <c r="O12" i="1"/>
  <c r="O13" i="1"/>
  <c r="O14" i="1"/>
  <c r="O18" i="1"/>
  <c r="O19" i="1"/>
  <c r="O20" i="1"/>
  <c r="O21" i="1"/>
  <c r="O22" i="1"/>
  <c r="K27" i="1"/>
  <c r="M28" i="1"/>
  <c r="L32" i="1"/>
  <c r="K32" i="1"/>
  <c r="J32" i="1"/>
  <c r="I32" i="1"/>
  <c r="D70" i="1"/>
  <c r="O32" i="1"/>
  <c r="N32" i="1"/>
  <c r="N33" i="1"/>
  <c r="L40" i="1"/>
  <c r="M68" i="1"/>
  <c r="G74" i="1"/>
  <c r="J63" i="1"/>
  <c r="I63" i="1"/>
  <c r="D48" i="1"/>
  <c r="F10" i="1"/>
  <c r="E10" i="1"/>
  <c r="D54" i="1"/>
  <c r="F16" i="1"/>
  <c r="E16" i="1"/>
  <c r="F9" i="1"/>
  <c r="I10" i="1"/>
  <c r="L38" i="1"/>
  <c r="K38" i="1"/>
  <c r="J38" i="1"/>
  <c r="D76" i="1"/>
  <c r="I38" i="1"/>
  <c r="O38" i="1"/>
  <c r="N38" i="1"/>
  <c r="N39" i="1"/>
  <c r="J15" i="1"/>
  <c r="E38" i="1"/>
  <c r="L62" i="1"/>
  <c r="K62" i="1"/>
  <c r="J62" i="1"/>
  <c r="I62" i="1"/>
  <c r="H62" i="1"/>
  <c r="O62" i="1"/>
  <c r="N62" i="1"/>
  <c r="P63" i="1"/>
  <c r="K9" i="1"/>
  <c r="I13" i="1"/>
  <c r="K16" i="1"/>
  <c r="K21" i="1"/>
  <c r="J19" i="1"/>
  <c r="L21" i="1"/>
  <c r="O9" i="1"/>
  <c r="O10" i="1"/>
  <c r="O15" i="1"/>
  <c r="P9" i="1"/>
  <c r="P10" i="1"/>
  <c r="P12" i="1"/>
  <c r="P13" i="1"/>
  <c r="P14" i="1"/>
  <c r="P15" i="1"/>
  <c r="P16" i="1"/>
  <c r="P18" i="1"/>
  <c r="P19" i="1"/>
  <c r="P20" i="1"/>
  <c r="P21" i="1"/>
  <c r="P22" i="1"/>
  <c r="N25" i="1"/>
  <c r="M25" i="1"/>
  <c r="L25" i="1"/>
  <c r="K25" i="1"/>
  <c r="F26" i="1"/>
  <c r="L27" i="1"/>
  <c r="N28" i="1"/>
  <c r="E32" i="1"/>
  <c r="O33" i="1"/>
  <c r="M40" i="1"/>
  <c r="D50" i="1"/>
  <c r="D57" i="1"/>
  <c r="P68" i="1"/>
  <c r="M74" i="1"/>
  <c r="P31" i="1"/>
  <c r="P37" i="1"/>
  <c r="P49" i="1"/>
  <c r="P55" i="1"/>
  <c r="P61" i="1"/>
  <c r="P73" i="1"/>
  <c r="E37" i="1"/>
  <c r="E49" i="1"/>
  <c r="E55" i="1"/>
  <c r="E61" i="1"/>
  <c r="E73" i="1"/>
  <c r="O11" i="1"/>
  <c r="O17" i="1"/>
  <c r="O23" i="1"/>
  <c r="M24" i="1"/>
  <c r="O29" i="1"/>
  <c r="M30" i="1"/>
  <c r="K31" i="1"/>
  <c r="O35" i="1"/>
  <c r="M36" i="1"/>
  <c r="K37" i="1"/>
  <c r="K49" i="1"/>
  <c r="K55" i="1"/>
  <c r="K61" i="1"/>
  <c r="K73" i="1"/>
  <c r="N24" i="1"/>
  <c r="N30" i="1"/>
  <c r="L31" i="1"/>
  <c r="N36" i="1"/>
  <c r="L37" i="1"/>
  <c r="L49" i="1"/>
  <c r="L55" i="1"/>
  <c r="L61" i="1"/>
  <c r="L67" i="1"/>
  <c r="L73" i="1"/>
  <c r="O24" i="1"/>
  <c r="O30" i="1"/>
  <c r="M31" i="1"/>
  <c r="O36" i="1"/>
  <c r="M37" i="1"/>
  <c r="M49" i="1"/>
  <c r="M55" i="1"/>
  <c r="M61" i="1"/>
  <c r="M67" i="1"/>
  <c r="M73" i="1"/>
  <c r="H75" i="1" l="1"/>
  <c r="N67" i="1"/>
  <c r="J67" i="1"/>
  <c r="I67" i="1"/>
  <c r="H67" i="1"/>
  <c r="G67" i="1"/>
  <c r="F67" i="1"/>
  <c r="O67" i="1"/>
  <c r="K67" i="1"/>
  <c r="I75" i="1"/>
  <c r="J75" i="1"/>
  <c r="E67" i="1"/>
  <c r="K63" i="1"/>
  <c r="O69" i="1"/>
  <c r="N69" i="1"/>
  <c r="K69" i="1"/>
  <c r="N73" i="1"/>
  <c r="H73" i="1"/>
  <c r="G73" i="1"/>
  <c r="F73" i="1"/>
  <c r="J73" i="1"/>
  <c r="O73" i="1"/>
  <c r="I73" i="1"/>
  <c r="L63" i="1"/>
  <c r="E63" i="1"/>
  <c r="N61" i="1"/>
  <c r="H61" i="1"/>
  <c r="G61" i="1"/>
  <c r="F61" i="1"/>
  <c r="O61" i="1"/>
  <c r="J61" i="1"/>
  <c r="I61" i="1"/>
  <c r="M63" i="1"/>
  <c r="F63" i="1"/>
  <c r="L75" i="1"/>
  <c r="G63" i="1"/>
  <c r="P75" i="1"/>
  <c r="O75" i="1"/>
  <c r="N75" i="1"/>
  <c r="K75" i="1"/>
  <c r="E75" i="1"/>
  <c r="P67" i="1"/>
  <c r="N63" i="1"/>
  <c r="H63" i="1"/>
  <c r="G75" i="1"/>
  <c r="P60" i="1"/>
  <c r="O60" i="1"/>
  <c r="N60" i="1"/>
  <c r="L60" i="1"/>
  <c r="M60" i="1"/>
  <c r="G60" i="1"/>
  <c r="F60" i="1"/>
  <c r="K60" i="1"/>
  <c r="H60" i="1"/>
  <c r="E60" i="1"/>
  <c r="J60" i="1"/>
  <c r="I60" i="1"/>
  <c r="H76" i="1"/>
  <c r="G76" i="1"/>
  <c r="F76" i="1"/>
  <c r="P76" i="1"/>
  <c r="E76" i="1"/>
  <c r="K76" i="1"/>
  <c r="J76" i="1"/>
  <c r="M76" i="1"/>
  <c r="L76" i="1"/>
  <c r="I76" i="1"/>
  <c r="N76" i="1"/>
  <c r="O76" i="1"/>
  <c r="P48" i="1"/>
  <c r="O48" i="1"/>
  <c r="N48" i="1"/>
  <c r="M48" i="1"/>
  <c r="G48" i="1"/>
  <c r="F48" i="1"/>
  <c r="I48" i="1"/>
  <c r="H48" i="1"/>
  <c r="E48" i="1"/>
  <c r="L48" i="1"/>
  <c r="K48" i="1"/>
  <c r="J48" i="1"/>
  <c r="J57" i="1"/>
  <c r="I57" i="1"/>
  <c r="H57" i="1"/>
  <c r="F57" i="1"/>
  <c r="G57" i="1"/>
  <c r="M57" i="1"/>
  <c r="L57" i="1"/>
  <c r="E57" i="1"/>
  <c r="P57" i="1"/>
  <c r="O57" i="1"/>
  <c r="N57" i="1"/>
  <c r="K57" i="1"/>
  <c r="F65" i="1"/>
  <c r="E65" i="1"/>
  <c r="P65" i="1"/>
  <c r="O65" i="1"/>
  <c r="N65" i="1"/>
  <c r="I65" i="1"/>
  <c r="H65" i="1"/>
  <c r="M65" i="1"/>
  <c r="L65" i="1"/>
  <c r="K65" i="1"/>
  <c r="J65" i="1"/>
  <c r="G65" i="1"/>
  <c r="L56" i="1"/>
  <c r="K56" i="1"/>
  <c r="J56" i="1"/>
  <c r="H56" i="1"/>
  <c r="I56" i="1"/>
  <c r="O56" i="1"/>
  <c r="N56" i="1"/>
  <c r="P56" i="1"/>
  <c r="M56" i="1"/>
  <c r="E56" i="1"/>
  <c r="G56" i="1"/>
  <c r="F56" i="1"/>
  <c r="L50" i="1"/>
  <c r="K50" i="1"/>
  <c r="J50" i="1"/>
  <c r="I50" i="1"/>
  <c r="O50" i="1"/>
  <c r="N50" i="1"/>
  <c r="P50" i="1"/>
  <c r="E50" i="1"/>
  <c r="M50" i="1"/>
  <c r="H50" i="1"/>
  <c r="G50" i="1"/>
  <c r="F50" i="1"/>
  <c r="H70" i="1"/>
  <c r="G70" i="1"/>
  <c r="F70" i="1"/>
  <c r="E70" i="1"/>
  <c r="P70" i="1"/>
  <c r="K70" i="1"/>
  <c r="J70" i="1"/>
  <c r="N70" i="1"/>
  <c r="O70" i="1"/>
  <c r="M70" i="1"/>
  <c r="L70" i="1"/>
  <c r="I70" i="1"/>
  <c r="F53" i="1"/>
  <c r="E53" i="1"/>
  <c r="P53" i="1"/>
  <c r="O53" i="1"/>
  <c r="N53" i="1"/>
  <c r="I53" i="1"/>
  <c r="H53" i="1"/>
  <c r="J53" i="1"/>
  <c r="K53" i="1"/>
  <c r="G53" i="1"/>
  <c r="M53" i="1"/>
  <c r="L53" i="1"/>
  <c r="P66" i="1"/>
  <c r="O66" i="1"/>
  <c r="N66" i="1"/>
  <c r="M66" i="1"/>
  <c r="L66" i="1"/>
  <c r="G66" i="1"/>
  <c r="F66" i="1"/>
  <c r="E66" i="1"/>
  <c r="K66" i="1"/>
  <c r="J66" i="1"/>
  <c r="I66" i="1"/>
  <c r="H66" i="1"/>
  <c r="J51" i="1"/>
  <c r="I51" i="1"/>
  <c r="H51" i="1"/>
  <c r="G51" i="1"/>
  <c r="M51" i="1"/>
  <c r="L51" i="1"/>
  <c r="N51" i="1"/>
  <c r="O51" i="1"/>
  <c r="K51" i="1"/>
  <c r="F51" i="1"/>
  <c r="E51" i="1"/>
  <c r="P51" i="1"/>
  <c r="P72" i="1"/>
  <c r="O72" i="1"/>
  <c r="N72" i="1"/>
  <c r="M72" i="1"/>
  <c r="L72" i="1"/>
  <c r="G72" i="1"/>
  <c r="F72" i="1"/>
  <c r="K72" i="1"/>
  <c r="J72" i="1"/>
  <c r="I72" i="1"/>
  <c r="H72" i="1"/>
  <c r="E72" i="1"/>
  <c r="P78" i="1"/>
  <c r="O78" i="1"/>
  <c r="N78" i="1"/>
  <c r="M78" i="1"/>
  <c r="L78" i="1"/>
  <c r="G78" i="1"/>
  <c r="F78" i="1"/>
  <c r="K78" i="1"/>
  <c r="J78" i="1"/>
  <c r="I78" i="1"/>
  <c r="H78" i="1"/>
  <c r="E78" i="1"/>
  <c r="F59" i="1"/>
  <c r="E59" i="1"/>
  <c r="P59" i="1"/>
  <c r="N59" i="1"/>
  <c r="O59" i="1"/>
  <c r="I59" i="1"/>
  <c r="H59" i="1"/>
  <c r="G59" i="1"/>
  <c r="M59" i="1"/>
  <c r="J59" i="1"/>
  <c r="L59" i="1"/>
  <c r="K59" i="1"/>
  <c r="H64" i="1"/>
  <c r="G64" i="1"/>
  <c r="F64" i="1"/>
  <c r="E64" i="1"/>
  <c r="P64" i="1"/>
  <c r="K64" i="1"/>
  <c r="J64" i="1"/>
  <c r="O64" i="1"/>
  <c r="N64" i="1"/>
  <c r="M64" i="1"/>
  <c r="L64" i="1"/>
  <c r="I64" i="1"/>
  <c r="P54" i="1"/>
  <c r="O54" i="1"/>
  <c r="N54" i="1"/>
  <c r="M54" i="1"/>
  <c r="L54" i="1"/>
  <c r="G54" i="1"/>
  <c r="F54" i="1"/>
  <c r="H54" i="1"/>
  <c r="E54" i="1"/>
  <c r="K54" i="1"/>
  <c r="I54" i="1"/>
  <c r="J54" i="1"/>
  <c r="F47" i="1"/>
  <c r="E47" i="1"/>
  <c r="P47" i="1"/>
  <c r="O47" i="1"/>
  <c r="I47" i="1"/>
  <c r="H47" i="1"/>
  <c r="J47" i="1"/>
  <c r="N47" i="1"/>
  <c r="K47" i="1"/>
  <c r="G47" i="1"/>
  <c r="M47" i="1"/>
  <c r="L47" i="1"/>
  <c r="F77" i="1"/>
  <c r="E77" i="1"/>
  <c r="P77" i="1"/>
  <c r="N77" i="1"/>
  <c r="O77" i="1"/>
  <c r="I77" i="1"/>
  <c r="H77" i="1"/>
  <c r="L77" i="1"/>
  <c r="J77" i="1"/>
  <c r="K77" i="1"/>
  <c r="M77" i="1"/>
  <c r="G77" i="1"/>
  <c r="F71" i="1"/>
  <c r="E71" i="1"/>
  <c r="P71" i="1"/>
  <c r="O71" i="1"/>
  <c r="N71" i="1"/>
  <c r="I71" i="1"/>
  <c r="H71" i="1"/>
  <c r="L71" i="1"/>
  <c r="K71" i="1"/>
  <c r="M71" i="1"/>
  <c r="J71" i="1"/>
  <c r="G71" i="1"/>
  <c r="H58" i="1"/>
  <c r="G58" i="1"/>
  <c r="F58" i="1"/>
  <c r="P58" i="1"/>
  <c r="E58" i="1"/>
  <c r="K58" i="1"/>
  <c r="J58" i="1"/>
  <c r="O58" i="1"/>
  <c r="N58" i="1"/>
  <c r="M58" i="1"/>
  <c r="L58" i="1"/>
  <c r="I58" i="1"/>
</calcChain>
</file>

<file path=xl/sharedStrings.xml><?xml version="1.0" encoding="utf-8"?>
<sst xmlns="http://schemas.openxmlformats.org/spreadsheetml/2006/main" count="948" uniqueCount="16">
  <si>
    <t>第７表　産業・性別常用労働者一人平均月間総実労働時間数、所定内労働時間数、所定外労働時間数及び出勤日数</t>
    <rPh sb="7" eb="8">
      <t>セイ</t>
    </rPh>
    <rPh sb="9" eb="11">
      <t>ジョウヨウ</t>
    </rPh>
    <rPh sb="11" eb="14">
      <t>ロウドウシャ</t>
    </rPh>
    <rPh sb="14" eb="15">
      <t>イチ</t>
    </rPh>
    <rPh sb="15" eb="16">
      <t>ニン</t>
    </rPh>
    <rPh sb="16" eb="18">
      <t>ヘイキン</t>
    </rPh>
    <rPh sb="18" eb="20">
      <t>ゲッカン</t>
    </rPh>
    <rPh sb="20" eb="21">
      <t>ソウ</t>
    </rPh>
    <rPh sb="21" eb="24">
      <t>ジツロウドウ</t>
    </rPh>
    <rPh sb="24" eb="26">
      <t>ジカン</t>
    </rPh>
    <rPh sb="26" eb="27">
      <t>スウ</t>
    </rPh>
    <rPh sb="28" eb="31">
      <t>ショテイナイ</t>
    </rPh>
    <rPh sb="31" eb="33">
      <t>ロウドウ</t>
    </rPh>
    <rPh sb="33" eb="35">
      <t>ジカン</t>
    </rPh>
    <rPh sb="35" eb="36">
      <t>スウ</t>
    </rPh>
    <rPh sb="37" eb="40">
      <t>ショテイガイ</t>
    </rPh>
    <rPh sb="40" eb="42">
      <t>ロウドウ</t>
    </rPh>
    <rPh sb="42" eb="45">
      <t>ジカンスウ</t>
    </rPh>
    <rPh sb="45" eb="46">
      <t>オヨ</t>
    </rPh>
    <rPh sb="47" eb="49">
      <t>シュッキン</t>
    </rPh>
    <rPh sb="49" eb="51">
      <t>ニッスウ</t>
    </rPh>
    <phoneticPr fontId="4"/>
  </si>
  <si>
    <t>(事業所規模５人以上)</t>
    <phoneticPr fontId="4"/>
  </si>
  <si>
    <t>（単位：時間・日）</t>
    <rPh sb="1" eb="3">
      <t>タンイ</t>
    </rPh>
    <rPh sb="4" eb="6">
      <t>ジカン</t>
    </rPh>
    <rPh sb="7" eb="8">
      <t>ヒ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</si>
  <si>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</si>
  <si>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</si>
  <si>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phoneticPr fontId="4"/>
  </si>
  <si>
    <t>産　　　　　業</t>
  </si>
  <si>
    <t>出勤</t>
    <rPh sb="0" eb="2">
      <t>シュッキン</t>
    </rPh>
    <phoneticPr fontId="4"/>
  </si>
  <si>
    <t>総実</t>
    <rPh sb="0" eb="1">
      <t>ソウ</t>
    </rPh>
    <rPh sb="1" eb="2">
      <t>ジツ</t>
    </rPh>
    <phoneticPr fontId="4"/>
  </si>
  <si>
    <t>所定内</t>
    <rPh sb="0" eb="3">
      <t>ショテイナイ</t>
    </rPh>
    <phoneticPr fontId="4"/>
  </si>
  <si>
    <t>所定外</t>
    <rPh sb="0" eb="3">
      <t>ショテイガイ</t>
    </rPh>
    <phoneticPr fontId="4"/>
  </si>
  <si>
    <t>労働</t>
    <rPh sb="0" eb="2">
      <t>ロウドウ</t>
    </rPh>
    <phoneticPr fontId="4"/>
  </si>
  <si>
    <t>日数</t>
    <rPh sb="0" eb="2">
      <t>ニッスウ</t>
    </rPh>
    <phoneticPr fontId="4"/>
  </si>
  <si>
    <t>時間</t>
    <rPh sb="0" eb="2">
      <t>ジカン</t>
    </rPh>
    <phoneticPr fontId="4"/>
  </si>
  <si>
    <t>(事業所規模３０人以上)</t>
    <phoneticPr fontId="4"/>
  </si>
  <si>
    <t>女</t>
    <rPh sb="0" eb="1">
      <t>オンナ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</si>
</sst>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.5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80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horizontal="centerContinuous" vertical="center" shrinkToFit="1"/>
    </xf>
    <xf numFmtId="0" fontId="1" fillId="0" borderId="0" xfId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 applyProtection="1">
      <alignment vertical="center"/>
      <protection locked="0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2" fillId="0" borderId="4" xfId="1" applyFont="1" applyBorder="1" applyAlignment="1" applyProtection="1">
      <alignment horizontal="centerContinuous" vertical="center"/>
      <protection locked="0"/>
    </xf>
    <xf numFmtId="0" fontId="12" fillId="0" borderId="5" xfId="1" applyFont="1" applyBorder="1" applyAlignment="1" applyProtection="1">
      <alignment horizontal="centerContinuous" vertical="center"/>
      <protection locked="0"/>
    </xf>
    <xf numFmtId="0" fontId="12" fillId="0" borderId="6" xfId="1" applyFont="1" applyBorder="1" applyAlignment="1" applyProtection="1">
      <alignment horizontal="centerContinuous" vertical="center"/>
      <protection locked="0"/>
    </xf>
    <xf numFmtId="0" fontId="12" fillId="0" borderId="7" xfId="1" applyFont="1" applyBorder="1" applyAlignment="1" applyProtection="1">
      <alignment horizontal="centerContinuous" vertical="center"/>
      <protection locked="0"/>
    </xf>
    <xf numFmtId="0" fontId="12" fillId="0" borderId="8" xfId="1" applyFont="1" applyBorder="1" applyAlignment="1" applyProtection="1">
      <alignment horizontal="centerContinuous" vertical="center"/>
      <protection locked="0"/>
    </xf>
    <xf numFmtId="0" fontId="12" fillId="0" borderId="9" xfId="1" applyFont="1" applyBorder="1" applyAlignment="1" applyProtection="1">
      <alignment horizontal="centerContinuous" vertical="center"/>
      <protection locked="0"/>
    </xf>
    <xf numFmtId="0" fontId="13" fillId="0" borderId="0" xfId="2" applyNumberFormat="1" applyFont="1"/>
    <xf numFmtId="0" fontId="1" fillId="0" borderId="10" xfId="1" applyBorder="1" applyAlignment="1" applyProtection="1">
      <alignment vertical="center"/>
      <protection locked="0"/>
    </xf>
    <xf numFmtId="0" fontId="1" fillId="0" borderId="11" xfId="1" applyBorder="1" applyAlignment="1" applyProtection="1">
      <alignment vertical="center"/>
      <protection locked="0"/>
    </xf>
    <xf numFmtId="0" fontId="14" fillId="0" borderId="12" xfId="1" applyFont="1" applyBorder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4" fillId="0" borderId="14" xfId="1" applyFont="1" applyBorder="1" applyAlignment="1">
      <alignment horizontal="distributed" vertical="center"/>
    </xf>
    <xf numFmtId="0" fontId="14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distributed" vertical="center"/>
    </xf>
    <xf numFmtId="0" fontId="14" fillId="0" borderId="17" xfId="1" applyFont="1" applyBorder="1" applyAlignment="1">
      <alignment horizontal="distributed" vertical="center"/>
    </xf>
    <xf numFmtId="0" fontId="12" fillId="0" borderId="17" xfId="1" applyFont="1" applyBorder="1" applyAlignment="1">
      <alignment horizontal="distributed" vertical="center"/>
    </xf>
    <xf numFmtId="0" fontId="14" fillId="0" borderId="18" xfId="1" applyFont="1" applyBorder="1" applyAlignment="1">
      <alignment horizontal="distributed" vertical="center"/>
    </xf>
    <xf numFmtId="0" fontId="14" fillId="0" borderId="19" xfId="1" applyFont="1" applyBorder="1" applyAlignment="1">
      <alignment horizontal="distributed" vertical="center"/>
    </xf>
    <xf numFmtId="0" fontId="14" fillId="0" borderId="20" xfId="1" applyFont="1" applyBorder="1" applyAlignment="1">
      <alignment horizontal="distributed" vertical="center"/>
    </xf>
    <xf numFmtId="0" fontId="12" fillId="0" borderId="13" xfId="1" applyFont="1" applyBorder="1" applyAlignment="1" applyProtection="1">
      <alignment horizontal="distributed" vertical="center"/>
      <protection locked="0"/>
    </xf>
    <xf numFmtId="0" fontId="12" fillId="0" borderId="21" xfId="1" applyFont="1" applyBorder="1" applyAlignment="1" applyProtection="1">
      <alignment horizontal="distributed" vertical="center"/>
      <protection locked="0"/>
    </xf>
    <xf numFmtId="0" fontId="12" fillId="0" borderId="14" xfId="1" applyFont="1" applyBorder="1" applyAlignment="1">
      <alignment horizontal="distributed" vertical="center"/>
    </xf>
    <xf numFmtId="0" fontId="14" fillId="0" borderId="22" xfId="1" applyFont="1" applyBorder="1" applyAlignment="1">
      <alignment horizontal="distributed" vertical="center"/>
    </xf>
    <xf numFmtId="0" fontId="14" fillId="0" borderId="23" xfId="1" applyFont="1" applyBorder="1" applyAlignment="1">
      <alignment horizontal="distributed" vertical="center"/>
    </xf>
    <xf numFmtId="0" fontId="1" fillId="0" borderId="24" xfId="1" applyBorder="1" applyAlignment="1" applyProtection="1">
      <alignment vertical="center"/>
      <protection locked="0"/>
    </xf>
    <xf numFmtId="0" fontId="1" fillId="0" borderId="25" xfId="1" applyBorder="1" applyAlignment="1" applyProtection="1">
      <alignment vertical="center"/>
      <protection locked="0"/>
    </xf>
    <xf numFmtId="0" fontId="1" fillId="0" borderId="26" xfId="1" applyBorder="1" applyAlignment="1" applyProtection="1">
      <alignment vertical="center"/>
      <protection locked="0"/>
    </xf>
    <xf numFmtId="0" fontId="14" fillId="0" borderId="21" xfId="1" applyFont="1" applyBorder="1" applyAlignment="1">
      <alignment horizontal="distributed" vertical="center"/>
    </xf>
    <xf numFmtId="0" fontId="12" fillId="0" borderId="22" xfId="1" applyFont="1" applyBorder="1" applyAlignment="1" applyProtection="1">
      <alignment horizontal="distributed" vertical="center"/>
      <protection locked="0"/>
    </xf>
    <xf numFmtId="0" fontId="15" fillId="0" borderId="1" xfId="2" applyNumberFormat="1" applyFont="1" applyBorder="1" applyAlignment="1">
      <alignment horizontal="centerContinuous" vertical="center"/>
    </xf>
    <xf numFmtId="0" fontId="15" fillId="0" borderId="3" xfId="2" applyNumberFormat="1" applyFont="1" applyBorder="1" applyAlignment="1">
      <alignment horizontal="centerContinuous" vertical="center"/>
    </xf>
    <xf numFmtId="1" fontId="10" fillId="0" borderId="12" xfId="2" applyFont="1" applyBorder="1" applyAlignment="1">
      <alignment horizontal="distributed" vertical="center"/>
    </xf>
    <xf numFmtId="176" fontId="10" fillId="0" borderId="12" xfId="1" applyNumberFormat="1" applyFont="1" applyBorder="1" applyAlignment="1">
      <alignment horizontal="right" vertical="center"/>
    </xf>
    <xf numFmtId="0" fontId="15" fillId="0" borderId="10" xfId="2" applyNumberFormat="1" applyFont="1" applyBorder="1" applyAlignment="1">
      <alignment horizontal="centerContinuous" vertical="center"/>
    </xf>
    <xf numFmtId="0" fontId="15" fillId="0" borderId="11" xfId="2" applyNumberFormat="1" applyFont="1" applyBorder="1" applyAlignment="1">
      <alignment horizontal="centerContinuous" vertical="center"/>
    </xf>
    <xf numFmtId="1" fontId="10" fillId="0" borderId="20" xfId="2" applyFont="1" applyBorder="1" applyAlignment="1">
      <alignment horizontal="distributed" vertical="center"/>
    </xf>
    <xf numFmtId="176" fontId="10" fillId="0" borderId="20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176" fontId="10" fillId="0" borderId="11" xfId="1" applyNumberFormat="1" applyFont="1" applyBorder="1" applyAlignment="1">
      <alignment horizontal="right" vertical="center"/>
    </xf>
    <xf numFmtId="176" fontId="11" fillId="0" borderId="11" xfId="1" applyNumberFormat="1" applyFont="1" applyBorder="1" applyAlignment="1">
      <alignment horizontal="right" vertical="center"/>
    </xf>
    <xf numFmtId="1" fontId="16" fillId="0" borderId="20" xfId="2" applyFont="1" applyBorder="1" applyAlignment="1">
      <alignment horizontal="distributed" vertical="center" shrinkToFit="1"/>
    </xf>
    <xf numFmtId="1" fontId="17" fillId="0" borderId="20" xfId="2" applyFont="1" applyBorder="1" applyAlignment="1">
      <alignment horizontal="distributed" vertical="center"/>
    </xf>
    <xf numFmtId="1" fontId="18" fillId="0" borderId="20" xfId="2" applyFont="1" applyBorder="1" applyAlignment="1">
      <alignment horizontal="distributed" vertical="center"/>
    </xf>
    <xf numFmtId="1" fontId="16" fillId="0" borderId="20" xfId="2" applyFont="1" applyBorder="1" applyAlignment="1">
      <alignment horizontal="distributed" vertical="center"/>
    </xf>
    <xf numFmtId="1" fontId="19" fillId="0" borderId="20" xfId="2" applyFont="1" applyBorder="1" applyAlignment="1">
      <alignment horizontal="distributed" vertical="center" shrinkToFit="1"/>
    </xf>
    <xf numFmtId="1" fontId="10" fillId="0" borderId="12" xfId="2" applyFont="1" applyBorder="1" applyAlignment="1">
      <alignment horizontal="distributed" vertical="center" shrinkToFit="1"/>
    </xf>
    <xf numFmtId="176" fontId="11" fillId="0" borderId="12" xfId="1" applyNumberFormat="1" applyFont="1" applyBorder="1" applyAlignment="1">
      <alignment horizontal="right" vertical="center"/>
    </xf>
    <xf numFmtId="1" fontId="10" fillId="0" borderId="20" xfId="2" applyFont="1" applyBorder="1" applyAlignment="1">
      <alignment horizontal="distributed" vertical="center" shrinkToFit="1"/>
    </xf>
    <xf numFmtId="0" fontId="15" fillId="0" borderId="27" xfId="2" applyNumberFormat="1" applyFont="1" applyBorder="1" applyAlignment="1">
      <alignment horizontal="centerContinuous" vertical="center"/>
    </xf>
    <xf numFmtId="0" fontId="15" fillId="0" borderId="28" xfId="2" applyNumberFormat="1" applyFont="1" applyBorder="1" applyAlignment="1">
      <alignment horizontal="centerContinuous" vertical="center"/>
    </xf>
    <xf numFmtId="1" fontId="18" fillId="0" borderId="29" xfId="2" applyFont="1" applyBorder="1" applyAlignment="1">
      <alignment horizontal="distributed" vertical="center" shrinkToFit="1"/>
    </xf>
    <xf numFmtId="176" fontId="11" fillId="0" borderId="29" xfId="1" applyNumberFormat="1" applyFont="1" applyBorder="1" applyAlignment="1">
      <alignment horizontal="right" vertical="center"/>
    </xf>
    <xf numFmtId="0" fontId="15" fillId="0" borderId="24" xfId="2" applyNumberFormat="1" applyFont="1" applyBorder="1" applyAlignment="1">
      <alignment horizontal="centerContinuous" vertical="center"/>
    </xf>
    <xf numFmtId="0" fontId="15" fillId="0" borderId="26" xfId="2" applyNumberFormat="1" applyFont="1" applyBorder="1" applyAlignment="1">
      <alignment horizontal="centerContinuous" vertical="center"/>
    </xf>
    <xf numFmtId="1" fontId="18" fillId="0" borderId="30" xfId="2" applyFont="1" applyBorder="1" applyAlignment="1">
      <alignment horizontal="distributed" vertical="center" shrinkToFit="1"/>
    </xf>
    <xf numFmtId="176" fontId="11" fillId="0" borderId="30" xfId="1" applyNumberFormat="1" applyFont="1" applyBorder="1" applyAlignment="1">
      <alignment horizontal="right"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21" fillId="0" borderId="0" xfId="1" applyFont="1" applyAlignment="1" applyProtection="1">
      <alignment vertical="center"/>
      <protection locked="0"/>
    </xf>
  </cellXfs>
  <cellStyles count="3">
    <cellStyle name="標準" xfId="0" builtinId="0"/>
    <cellStyle name="標準 2" xfId="1" xr:uid="{AD8F2B38-BC0C-45E1-A341-590867DD95D2}"/>
    <cellStyle name="標準 3" xfId="2" xr:uid="{3A2FB288-DDF6-46A6-BA26-2C82C9BA4B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830224\Desktop\1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/00%20&#26376;&#22577;&#12398;&#12467;&#12500;&#12540;/00%20&#31649;&#29702;&#65411;&#65438;&#65392;&#65408;.xlsm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5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5/00%20&#26376;&#22577;&#65411;&#65438;&#65392;&#65408;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6/00%20&#31649;&#29702;&#65411;&#65438;&#65392;&#65408;.xlsm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6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6/00%20&#26376;&#22577;&#65411;&#65438;&#65392;&#65408;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7/00%20&#31649;&#29702;&#65411;&#65438;&#65392;&#65408;.xlsm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7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7/00%20&#26376;&#22577;&#65411;&#65438;&#65392;&#65408;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8/00%20&#31649;&#29702;&#65411;&#65438;&#65392;&#65408;.xlsm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8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8/00%20&#26376;&#22577;&#65411;&#65438;&#65392;&#65408;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9/00%20&#31649;&#29702;&#65411;&#65438;&#65392;&#65408;.xlsm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9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9/00%20&#26376;&#22577;&#65411;&#65438;&#65392;&#65408;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0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\00%20&#26376;&#22577;&#12398;&#12467;&#12500;&#12540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/00%20&#26376;&#22577;&#12398;&#12467;&#12500;&#12540;/00%20&#26376;&#22577;&#65411;&#65438;&#65392;&#65408;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0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0/00%20&#26376;&#22577;&#65411;&#65438;&#65392;&#65408;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1/00%20&#31649;&#29702;&#65411;&#65438;&#65392;&#65408;.xlsm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1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1/00%20&#26376;&#22577;&#65411;&#65438;&#65392;&#65408;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2/00%20&#31649;&#29702;&#65411;&#65438;&#65392;&#65408;.xlsm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2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2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2/00%20&#31649;&#29702;&#65411;&#65438;&#65392;&#65408;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2\00%20&#26376;&#22577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2/00%20&#26376;&#22577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3/00%20&#31649;&#29702;&#65411;&#65438;&#65392;&#65408;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3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3/00%20&#26376;&#22577;&#65411;&#65438;&#65392;&#65408;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4/00%20&#31649;&#29702;&#65411;&#65438;&#65392;&#65408;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4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4/00%20&#26376;&#22577;&#65411;&#65438;&#65392;&#65408;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5/00%20&#31649;&#29702;&#65411;&#65438;&#65392;&#65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3414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17.8</v>
          </cell>
          <cell r="G10">
            <v>139.1</v>
          </cell>
          <cell r="H10">
            <v>128.30000000000001</v>
          </cell>
          <cell r="I10">
            <v>10.8</v>
          </cell>
          <cell r="J10">
            <v>18.100000000000001</v>
          </cell>
          <cell r="K10">
            <v>150</v>
          </cell>
          <cell r="L10">
            <v>135.19999999999999</v>
          </cell>
          <cell r="M10">
            <v>14.8</v>
          </cell>
          <cell r="N10">
            <v>17.5</v>
          </cell>
          <cell r="O10">
            <v>128.69999999999999</v>
          </cell>
          <cell r="P10">
            <v>121.7</v>
          </cell>
          <cell r="Q10">
            <v>7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18.600000000000001</v>
          </cell>
          <cell r="G12">
            <v>147.69999999999999</v>
          </cell>
          <cell r="H12">
            <v>137.4</v>
          </cell>
          <cell r="I12">
            <v>10.3</v>
          </cell>
          <cell r="J12">
            <v>18.8</v>
          </cell>
          <cell r="K12">
            <v>150.4</v>
          </cell>
          <cell r="L12">
            <v>139</v>
          </cell>
          <cell r="M12">
            <v>11.4</v>
          </cell>
          <cell r="N12">
            <v>17.600000000000001</v>
          </cell>
          <cell r="O12">
            <v>136.19999999999999</v>
          </cell>
          <cell r="P12">
            <v>130.5</v>
          </cell>
          <cell r="Q12">
            <v>5.7</v>
          </cell>
        </row>
        <row r="13">
          <cell r="C13" t="str">
            <v>製造業</v>
          </cell>
          <cell r="F13">
            <v>17.7</v>
          </cell>
          <cell r="G13">
            <v>148</v>
          </cell>
          <cell r="H13">
            <v>133.6</v>
          </cell>
          <cell r="I13">
            <v>14.4</v>
          </cell>
          <cell r="J13">
            <v>17.899999999999999</v>
          </cell>
          <cell r="K13">
            <v>154.4</v>
          </cell>
          <cell r="L13">
            <v>137.1</v>
          </cell>
          <cell r="M13">
            <v>17.3</v>
          </cell>
          <cell r="N13">
            <v>17.3</v>
          </cell>
          <cell r="O13">
            <v>137.5</v>
          </cell>
          <cell r="P13">
            <v>127.9</v>
          </cell>
          <cell r="Q13">
            <v>9.6</v>
          </cell>
        </row>
        <row r="14">
          <cell r="C14" t="str">
            <v>電気・ガス・熱供給・水道業</v>
          </cell>
          <cell r="F14">
            <v>17.2</v>
          </cell>
          <cell r="G14">
            <v>140.4</v>
          </cell>
          <cell r="H14">
            <v>126.4</v>
          </cell>
          <cell r="I14">
            <v>14</v>
          </cell>
          <cell r="J14">
            <v>17.100000000000001</v>
          </cell>
          <cell r="K14">
            <v>142.30000000000001</v>
          </cell>
          <cell r="L14">
            <v>126.9</v>
          </cell>
          <cell r="M14">
            <v>15.4</v>
          </cell>
          <cell r="N14">
            <v>17.3</v>
          </cell>
          <cell r="O14">
            <v>129</v>
          </cell>
          <cell r="P14">
            <v>123.5</v>
          </cell>
          <cell r="Q14">
            <v>5.5</v>
          </cell>
        </row>
        <row r="15">
          <cell r="C15" t="str">
            <v>情報通信業</v>
          </cell>
          <cell r="F15">
            <v>17.2</v>
          </cell>
          <cell r="G15">
            <v>148.30000000000001</v>
          </cell>
          <cell r="H15">
            <v>134.6</v>
          </cell>
          <cell r="I15">
            <v>13.7</v>
          </cell>
          <cell r="J15">
            <v>17.3</v>
          </cell>
          <cell r="K15">
            <v>150.4</v>
          </cell>
          <cell r="L15">
            <v>135.30000000000001</v>
          </cell>
          <cell r="M15">
            <v>15.1</v>
          </cell>
          <cell r="N15">
            <v>17</v>
          </cell>
          <cell r="O15">
            <v>143.4</v>
          </cell>
          <cell r="P15">
            <v>132.9</v>
          </cell>
          <cell r="Q15">
            <v>10.5</v>
          </cell>
        </row>
        <row r="16">
          <cell r="C16" t="str">
            <v>運輸業，郵便業</v>
          </cell>
          <cell r="F16">
            <v>18.7</v>
          </cell>
          <cell r="G16">
            <v>151.1</v>
          </cell>
          <cell r="H16">
            <v>131.6</v>
          </cell>
          <cell r="I16">
            <v>19.5</v>
          </cell>
          <cell r="J16">
            <v>18.899999999999999</v>
          </cell>
          <cell r="K16">
            <v>154</v>
          </cell>
          <cell r="L16">
            <v>132.4</v>
          </cell>
          <cell r="M16">
            <v>21.6</v>
          </cell>
          <cell r="N16">
            <v>17.899999999999999</v>
          </cell>
          <cell r="O16">
            <v>133.19999999999999</v>
          </cell>
          <cell r="P16">
            <v>126.6</v>
          </cell>
          <cell r="Q16">
            <v>6.6</v>
          </cell>
        </row>
        <row r="17">
          <cell r="C17" t="str">
            <v>卸売業，小売業</v>
          </cell>
          <cell r="F17">
            <v>18.2</v>
          </cell>
          <cell r="G17">
            <v>129</v>
          </cell>
          <cell r="H17">
            <v>121.1</v>
          </cell>
          <cell r="I17">
            <v>7.9</v>
          </cell>
          <cell r="J17">
            <v>19.100000000000001</v>
          </cell>
          <cell r="K17">
            <v>151.9</v>
          </cell>
          <cell r="L17">
            <v>139.1</v>
          </cell>
          <cell r="M17">
            <v>12.8</v>
          </cell>
          <cell r="N17">
            <v>17.600000000000001</v>
          </cell>
          <cell r="O17">
            <v>113.8</v>
          </cell>
          <cell r="P17">
            <v>109.2</v>
          </cell>
          <cell r="Q17">
            <v>4.5999999999999996</v>
          </cell>
        </row>
        <row r="18">
          <cell r="C18" t="str">
            <v>金融業，保険業</v>
          </cell>
          <cell r="F18">
            <v>17.7</v>
          </cell>
          <cell r="G18">
            <v>128.30000000000001</v>
          </cell>
          <cell r="H18">
            <v>124.4</v>
          </cell>
          <cell r="I18">
            <v>3.9</v>
          </cell>
          <cell r="J18">
            <v>17.2</v>
          </cell>
          <cell r="K18">
            <v>125.8</v>
          </cell>
          <cell r="L18">
            <v>123.4</v>
          </cell>
          <cell r="M18">
            <v>2.4</v>
          </cell>
          <cell r="N18">
            <v>18.100000000000001</v>
          </cell>
          <cell r="O18">
            <v>130.5</v>
          </cell>
          <cell r="P18">
            <v>125.3</v>
          </cell>
          <cell r="Q18">
            <v>5.2</v>
          </cell>
        </row>
        <row r="19">
          <cell r="C19" t="str">
            <v>不動産業，物品賃貸業</v>
          </cell>
          <cell r="F19">
            <v>17.8</v>
          </cell>
          <cell r="G19">
            <v>135.69999999999999</v>
          </cell>
          <cell r="H19">
            <v>133</v>
          </cell>
          <cell r="I19">
            <v>2.7</v>
          </cell>
          <cell r="J19">
            <v>18.399999999999999</v>
          </cell>
          <cell r="K19">
            <v>147.30000000000001</v>
          </cell>
          <cell r="L19">
            <v>143.1</v>
          </cell>
          <cell r="M19">
            <v>4.2</v>
          </cell>
          <cell r="N19">
            <v>16.8</v>
          </cell>
          <cell r="O19">
            <v>117.2</v>
          </cell>
          <cell r="P19">
            <v>116.8</v>
          </cell>
          <cell r="Q19">
            <v>0.4</v>
          </cell>
        </row>
        <row r="20">
          <cell r="C20" t="str">
            <v>学術研究，専門・技術サービス業</v>
          </cell>
          <cell r="F20">
            <v>16.7</v>
          </cell>
          <cell r="G20">
            <v>142.19999999999999</v>
          </cell>
          <cell r="H20">
            <v>129.80000000000001</v>
          </cell>
          <cell r="I20">
            <v>12.4</v>
          </cell>
          <cell r="J20">
            <v>16.8</v>
          </cell>
          <cell r="K20">
            <v>145.1</v>
          </cell>
          <cell r="L20">
            <v>130.9</v>
          </cell>
          <cell r="M20">
            <v>14.2</v>
          </cell>
          <cell r="N20">
            <v>16.3</v>
          </cell>
          <cell r="O20">
            <v>132.19999999999999</v>
          </cell>
          <cell r="P20">
            <v>126.1</v>
          </cell>
          <cell r="Q20">
            <v>6.1</v>
          </cell>
        </row>
        <row r="21">
          <cell r="C21" t="str">
            <v>宿泊業，飲食サービス業</v>
          </cell>
          <cell r="F21">
            <v>14.8</v>
          </cell>
          <cell r="G21">
            <v>97</v>
          </cell>
          <cell r="H21">
            <v>91.3</v>
          </cell>
          <cell r="I21">
            <v>5.7</v>
          </cell>
          <cell r="J21">
            <v>15.6</v>
          </cell>
          <cell r="K21">
            <v>109.2</v>
          </cell>
          <cell r="L21">
            <v>100.2</v>
          </cell>
          <cell r="M21">
            <v>9</v>
          </cell>
          <cell r="N21">
            <v>14.4</v>
          </cell>
          <cell r="O21">
            <v>90.3</v>
          </cell>
          <cell r="P21">
            <v>86.4</v>
          </cell>
          <cell r="Q21">
            <v>3.9</v>
          </cell>
        </row>
        <row r="22">
          <cell r="C22" t="str">
            <v>生活関連サービス業，娯楽業</v>
          </cell>
          <cell r="F22">
            <v>17</v>
          </cell>
          <cell r="G22">
            <v>134.80000000000001</v>
          </cell>
          <cell r="H22">
            <v>121.9</v>
          </cell>
          <cell r="I22">
            <v>12.9</v>
          </cell>
          <cell r="J22">
            <v>17.3</v>
          </cell>
          <cell r="K22">
            <v>149</v>
          </cell>
          <cell r="L22">
            <v>135.30000000000001</v>
          </cell>
          <cell r="M22">
            <v>13.7</v>
          </cell>
          <cell r="N22">
            <v>16.7</v>
          </cell>
          <cell r="O22">
            <v>117.8</v>
          </cell>
          <cell r="P22">
            <v>105.8</v>
          </cell>
          <cell r="Q22">
            <v>12</v>
          </cell>
        </row>
        <row r="23">
          <cell r="C23" t="str">
            <v>教育，学習支援業</v>
          </cell>
          <cell r="F23">
            <v>16.7</v>
          </cell>
          <cell r="G23">
            <v>146.19999999999999</v>
          </cell>
          <cell r="H23">
            <v>123.1</v>
          </cell>
          <cell r="I23">
            <v>23.1</v>
          </cell>
          <cell r="J23">
            <v>17</v>
          </cell>
          <cell r="K23">
            <v>156.69999999999999</v>
          </cell>
          <cell r="L23">
            <v>127.7</v>
          </cell>
          <cell r="M23">
            <v>29</v>
          </cell>
          <cell r="N23">
            <v>16.5</v>
          </cell>
          <cell r="O23">
            <v>136.69999999999999</v>
          </cell>
          <cell r="P23">
            <v>118.9</v>
          </cell>
          <cell r="Q23">
            <v>17.8</v>
          </cell>
        </row>
        <row r="24">
          <cell r="C24" t="str">
            <v>医療，福祉</v>
          </cell>
          <cell r="F24">
            <v>18.399999999999999</v>
          </cell>
          <cell r="G24">
            <v>139.30000000000001</v>
          </cell>
          <cell r="H24">
            <v>133.69999999999999</v>
          </cell>
          <cell r="I24">
            <v>5.6</v>
          </cell>
          <cell r="J24">
            <v>18.7</v>
          </cell>
          <cell r="K24">
            <v>146.30000000000001</v>
          </cell>
          <cell r="L24">
            <v>140.1</v>
          </cell>
          <cell r="M24">
            <v>6.2</v>
          </cell>
          <cell r="N24">
            <v>18.3</v>
          </cell>
          <cell r="O24">
            <v>136.5</v>
          </cell>
          <cell r="P24">
            <v>131.19999999999999</v>
          </cell>
          <cell r="Q24">
            <v>5.3</v>
          </cell>
        </row>
        <row r="25">
          <cell r="C25" t="str">
            <v>複合サービス事業</v>
          </cell>
          <cell r="F25">
            <v>19.5</v>
          </cell>
          <cell r="G25">
            <v>154.4</v>
          </cell>
          <cell r="H25">
            <v>149.30000000000001</v>
          </cell>
          <cell r="I25">
            <v>5.0999999999999996</v>
          </cell>
          <cell r="J25">
            <v>19.5</v>
          </cell>
          <cell r="K25">
            <v>158</v>
          </cell>
          <cell r="L25">
            <v>152.30000000000001</v>
          </cell>
          <cell r="M25">
            <v>5.7</v>
          </cell>
          <cell r="N25">
            <v>19.5</v>
          </cell>
          <cell r="O25">
            <v>149.30000000000001</v>
          </cell>
          <cell r="P25">
            <v>145</v>
          </cell>
          <cell r="Q25">
            <v>4.3</v>
          </cell>
        </row>
        <row r="26">
          <cell r="C26" t="str">
            <v>サービス業（他に分類されないもの）</v>
          </cell>
          <cell r="F26">
            <v>17.600000000000001</v>
          </cell>
          <cell r="G26">
            <v>132.80000000000001</v>
          </cell>
          <cell r="H26">
            <v>124.3</v>
          </cell>
          <cell r="I26">
            <v>8.5</v>
          </cell>
          <cell r="J26">
            <v>18</v>
          </cell>
          <cell r="K26">
            <v>149.69999999999999</v>
          </cell>
          <cell r="L26">
            <v>137.4</v>
          </cell>
          <cell r="M26">
            <v>12.3</v>
          </cell>
          <cell r="N26">
            <v>17.2</v>
          </cell>
          <cell r="O26">
            <v>116</v>
          </cell>
          <cell r="P26">
            <v>111.3</v>
          </cell>
          <cell r="Q26">
            <v>4.7</v>
          </cell>
        </row>
        <row r="27">
          <cell r="C27" t="str">
            <v>食料品・たばこ</v>
          </cell>
          <cell r="F27">
            <v>18.100000000000001</v>
          </cell>
          <cell r="G27">
            <v>148.1</v>
          </cell>
          <cell r="H27">
            <v>134.6</v>
          </cell>
          <cell r="I27">
            <v>13.5</v>
          </cell>
          <cell r="J27">
            <v>18.399999999999999</v>
          </cell>
          <cell r="K27">
            <v>157.1</v>
          </cell>
          <cell r="L27">
            <v>141.4</v>
          </cell>
          <cell r="M27">
            <v>15.7</v>
          </cell>
          <cell r="N27">
            <v>17.899999999999999</v>
          </cell>
          <cell r="O27">
            <v>140.1</v>
          </cell>
          <cell r="P27">
            <v>128.6</v>
          </cell>
          <cell r="Q27">
            <v>11.5</v>
          </cell>
        </row>
        <row r="28">
          <cell r="C28" t="str">
            <v>繊維工業</v>
          </cell>
          <cell r="F28">
            <v>17.7</v>
          </cell>
          <cell r="G28">
            <v>151.5</v>
          </cell>
          <cell r="H28">
            <v>133.80000000000001</v>
          </cell>
          <cell r="I28">
            <v>17.7</v>
          </cell>
          <cell r="J28">
            <v>18.600000000000001</v>
          </cell>
          <cell r="K28">
            <v>159.80000000000001</v>
          </cell>
          <cell r="L28">
            <v>139.30000000000001</v>
          </cell>
          <cell r="M28">
            <v>20.5</v>
          </cell>
          <cell r="N28">
            <v>17</v>
          </cell>
          <cell r="O28">
            <v>145.4</v>
          </cell>
          <cell r="P28">
            <v>129.80000000000001</v>
          </cell>
          <cell r="Q28">
            <v>15.6</v>
          </cell>
        </row>
        <row r="29">
          <cell r="C29" t="str">
            <v>木材・木製品</v>
          </cell>
          <cell r="F29">
            <v>17.8</v>
          </cell>
          <cell r="G29">
            <v>140.6</v>
          </cell>
          <cell r="H29">
            <v>130.6</v>
          </cell>
          <cell r="I29">
            <v>10</v>
          </cell>
          <cell r="J29">
            <v>17.600000000000001</v>
          </cell>
          <cell r="K29">
            <v>144.30000000000001</v>
          </cell>
          <cell r="L29">
            <v>132.4</v>
          </cell>
          <cell r="M29">
            <v>11.9</v>
          </cell>
          <cell r="N29">
            <v>18.7</v>
          </cell>
          <cell r="O29">
            <v>124.2</v>
          </cell>
          <cell r="P29">
            <v>122.6</v>
          </cell>
          <cell r="Q29">
            <v>1.6</v>
          </cell>
        </row>
        <row r="30">
          <cell r="C30" t="str">
            <v>家具・装備品</v>
          </cell>
          <cell r="F30" t="str">
            <v>#16.2</v>
          </cell>
          <cell r="G30" t="str">
            <v>#120.6</v>
          </cell>
          <cell r="H30" t="str">
            <v>#120.6</v>
          </cell>
          <cell r="I30" t="str">
            <v>#0</v>
          </cell>
          <cell r="J30" t="str">
            <v>#16.4</v>
          </cell>
          <cell r="K30" t="str">
            <v>#126.3</v>
          </cell>
          <cell r="L30" t="str">
            <v>#126.3</v>
          </cell>
          <cell r="M30" t="str">
            <v>#0</v>
          </cell>
          <cell r="N30" t="str">
            <v>#15.6</v>
          </cell>
          <cell r="O30" t="str">
            <v>#104.8</v>
          </cell>
          <cell r="P30" t="str">
            <v>#104.8</v>
          </cell>
          <cell r="Q30" t="str">
            <v>#0</v>
          </cell>
        </row>
        <row r="31">
          <cell r="C31" t="str">
            <v>パルプ・紙</v>
          </cell>
          <cell r="F31" t="str">
            <v>#18.7</v>
          </cell>
          <cell r="G31" t="str">
            <v>#151.8</v>
          </cell>
          <cell r="H31" t="str">
            <v>#139.1</v>
          </cell>
          <cell r="I31" t="str">
            <v>#12.7</v>
          </cell>
          <cell r="J31" t="str">
            <v>#18.8</v>
          </cell>
          <cell r="K31" t="str">
            <v>#155.9</v>
          </cell>
          <cell r="L31" t="str">
            <v>#139</v>
          </cell>
          <cell r="M31" t="str">
            <v>#16.9</v>
          </cell>
          <cell r="N31" t="str">
            <v>#18.5</v>
          </cell>
          <cell r="O31" t="str">
            <v>#140</v>
          </cell>
          <cell r="P31" t="str">
            <v>#139.6</v>
          </cell>
          <cell r="Q31" t="str">
            <v>#0.4</v>
          </cell>
        </row>
        <row r="32">
          <cell r="C32" t="str">
            <v>印刷・同関連業</v>
          </cell>
          <cell r="F32">
            <v>17.2</v>
          </cell>
          <cell r="G32">
            <v>124.1</v>
          </cell>
          <cell r="H32">
            <v>116</v>
          </cell>
          <cell r="I32">
            <v>8.1</v>
          </cell>
          <cell r="J32">
            <v>17.8</v>
          </cell>
          <cell r="K32">
            <v>130.4</v>
          </cell>
          <cell r="L32">
            <v>121</v>
          </cell>
          <cell r="M32">
            <v>9.4</v>
          </cell>
          <cell r="N32">
            <v>15.6</v>
          </cell>
          <cell r="O32">
            <v>108.3</v>
          </cell>
          <cell r="P32">
            <v>103.4</v>
          </cell>
          <cell r="Q32">
            <v>4.9000000000000004</v>
          </cell>
        </row>
        <row r="33">
          <cell r="C33" t="str">
            <v>化学、石油・石炭</v>
          </cell>
          <cell r="F33">
            <v>18</v>
          </cell>
          <cell r="G33">
            <v>151.9</v>
          </cell>
          <cell r="H33">
            <v>130.9</v>
          </cell>
          <cell r="I33">
            <v>21</v>
          </cell>
          <cell r="J33">
            <v>18.100000000000001</v>
          </cell>
          <cell r="K33">
            <v>153.80000000000001</v>
          </cell>
          <cell r="L33">
            <v>131.5</v>
          </cell>
          <cell r="M33">
            <v>22.3</v>
          </cell>
          <cell r="N33">
            <v>17</v>
          </cell>
          <cell r="O33">
            <v>128.9</v>
          </cell>
          <cell r="P33">
            <v>123.7</v>
          </cell>
          <cell r="Q33">
            <v>5.2</v>
          </cell>
        </row>
        <row r="34">
          <cell r="C34" t="str">
            <v>プラスチック製品</v>
          </cell>
          <cell r="F34">
            <v>17.8</v>
          </cell>
          <cell r="G34">
            <v>141</v>
          </cell>
          <cell r="H34">
            <v>130.1</v>
          </cell>
          <cell r="I34">
            <v>10.9</v>
          </cell>
          <cell r="J34">
            <v>18.2</v>
          </cell>
          <cell r="K34">
            <v>149.6</v>
          </cell>
          <cell r="L34">
            <v>135.4</v>
          </cell>
          <cell r="M34">
            <v>14.2</v>
          </cell>
          <cell r="N34">
            <v>16.3</v>
          </cell>
          <cell r="O34">
            <v>115.3</v>
          </cell>
          <cell r="P34">
            <v>114.2</v>
          </cell>
          <cell r="Q34">
            <v>1.1000000000000001</v>
          </cell>
        </row>
        <row r="35">
          <cell r="C35" t="str">
            <v>ゴム製品</v>
          </cell>
          <cell r="F35">
            <v>17.3</v>
          </cell>
          <cell r="G35">
            <v>148.80000000000001</v>
          </cell>
          <cell r="H35">
            <v>128.19999999999999</v>
          </cell>
          <cell r="I35">
            <v>20.6</v>
          </cell>
          <cell r="J35">
            <v>17.3</v>
          </cell>
          <cell r="K35">
            <v>149.6</v>
          </cell>
          <cell r="L35">
            <v>127.2</v>
          </cell>
          <cell r="M35">
            <v>22.4</v>
          </cell>
          <cell r="N35">
            <v>17.3</v>
          </cell>
          <cell r="O35">
            <v>143.4</v>
          </cell>
          <cell r="P35">
            <v>134.6</v>
          </cell>
          <cell r="Q35">
            <v>8.8000000000000007</v>
          </cell>
        </row>
        <row r="36">
          <cell r="C36" t="str">
            <v>窯業・土石製品</v>
          </cell>
          <cell r="F36">
            <v>16.7</v>
          </cell>
          <cell r="G36">
            <v>134.30000000000001</v>
          </cell>
          <cell r="H36">
            <v>124.8</v>
          </cell>
          <cell r="I36">
            <v>9.5</v>
          </cell>
          <cell r="J36">
            <v>16.7</v>
          </cell>
          <cell r="K36">
            <v>141.9</v>
          </cell>
          <cell r="L36">
            <v>129.80000000000001</v>
          </cell>
          <cell r="M36">
            <v>12.1</v>
          </cell>
          <cell r="N36">
            <v>16.5</v>
          </cell>
          <cell r="O36">
            <v>112.1</v>
          </cell>
          <cell r="P36">
            <v>110.2</v>
          </cell>
          <cell r="Q36">
            <v>1.9</v>
          </cell>
        </row>
        <row r="37">
          <cell r="C37" t="str">
            <v>鉄鋼業</v>
          </cell>
          <cell r="F37" t="str">
            <v>#17.8</v>
          </cell>
          <cell r="G37" t="str">
            <v>#163.1</v>
          </cell>
          <cell r="H37" t="str">
            <v>#139.5</v>
          </cell>
          <cell r="I37" t="str">
            <v>#23.6</v>
          </cell>
          <cell r="J37" t="str">
            <v>#18</v>
          </cell>
          <cell r="K37" t="str">
            <v>#165.1</v>
          </cell>
          <cell r="L37" t="str">
            <v>#140.8</v>
          </cell>
          <cell r="M37" t="str">
            <v>#24.3</v>
          </cell>
          <cell r="N37" t="str">
            <v>#15.4</v>
          </cell>
          <cell r="O37" t="str">
            <v>#135.8</v>
          </cell>
          <cell r="P37" t="str">
            <v>#121.5</v>
          </cell>
          <cell r="Q37" t="str">
            <v>#14.3</v>
          </cell>
        </row>
        <row r="38">
          <cell r="C38" t="str">
            <v>非鉄金属製造業</v>
          </cell>
          <cell r="F38" t="str">
            <v>#16.3</v>
          </cell>
          <cell r="G38" t="str">
            <v>#130.2</v>
          </cell>
          <cell r="H38" t="str">
            <v>#128.9</v>
          </cell>
          <cell r="I38" t="str">
            <v>#1.3</v>
          </cell>
          <cell r="J38" t="str">
            <v>#17.2</v>
          </cell>
          <cell r="K38" t="str">
            <v>#139.2</v>
          </cell>
          <cell r="L38" t="str">
            <v>#137.3</v>
          </cell>
          <cell r="M38" t="str">
            <v>#1.9</v>
          </cell>
          <cell r="N38" t="str">
            <v>#15.4</v>
          </cell>
          <cell r="O38" t="str">
            <v>#121.4</v>
          </cell>
          <cell r="P38" t="str">
            <v>#120.8</v>
          </cell>
          <cell r="Q38" t="str">
            <v>#0.6</v>
          </cell>
        </row>
        <row r="39">
          <cell r="C39" t="str">
            <v>金属製品製造業</v>
          </cell>
          <cell r="F39">
            <v>18.5</v>
          </cell>
          <cell r="G39">
            <v>155</v>
          </cell>
          <cell r="H39">
            <v>142.80000000000001</v>
          </cell>
          <cell r="I39">
            <v>12.2</v>
          </cell>
          <cell r="J39">
            <v>18.600000000000001</v>
          </cell>
          <cell r="K39">
            <v>160.6</v>
          </cell>
          <cell r="L39">
            <v>145.19999999999999</v>
          </cell>
          <cell r="M39">
            <v>15.4</v>
          </cell>
          <cell r="N39">
            <v>18</v>
          </cell>
          <cell r="O39">
            <v>138.4</v>
          </cell>
          <cell r="P39">
            <v>135.69999999999999</v>
          </cell>
          <cell r="Q39">
            <v>2.7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16.7</v>
          </cell>
          <cell r="G42">
            <v>138.6</v>
          </cell>
          <cell r="H42">
            <v>130.4</v>
          </cell>
          <cell r="I42">
            <v>8.1999999999999993</v>
          </cell>
          <cell r="J42">
            <v>17.5</v>
          </cell>
          <cell r="K42">
            <v>147.9</v>
          </cell>
          <cell r="L42">
            <v>136.6</v>
          </cell>
          <cell r="M42">
            <v>11.3</v>
          </cell>
          <cell r="N42">
            <v>16</v>
          </cell>
          <cell r="O42">
            <v>130.5</v>
          </cell>
          <cell r="P42">
            <v>125.1</v>
          </cell>
          <cell r="Q42">
            <v>5.4</v>
          </cell>
        </row>
        <row r="43">
          <cell r="C43" t="str">
            <v>電子・デバイス</v>
          </cell>
          <cell r="F43">
            <v>18.600000000000001</v>
          </cell>
          <cell r="G43">
            <v>159.9</v>
          </cell>
          <cell r="H43">
            <v>144.9</v>
          </cell>
          <cell r="I43">
            <v>15</v>
          </cell>
          <cell r="J43">
            <v>18.899999999999999</v>
          </cell>
          <cell r="K43">
            <v>168.5</v>
          </cell>
          <cell r="L43">
            <v>149.69999999999999</v>
          </cell>
          <cell r="M43">
            <v>18.8</v>
          </cell>
          <cell r="N43">
            <v>18.100000000000001</v>
          </cell>
          <cell r="O43">
            <v>140.69999999999999</v>
          </cell>
          <cell r="P43">
            <v>134.30000000000001</v>
          </cell>
          <cell r="Q43">
            <v>6.4</v>
          </cell>
        </row>
        <row r="44">
          <cell r="C44" t="str">
            <v>電気機械器具</v>
          </cell>
          <cell r="F44">
            <v>16.399999999999999</v>
          </cell>
          <cell r="G44">
            <v>133.19999999999999</v>
          </cell>
          <cell r="H44">
            <v>126</v>
          </cell>
          <cell r="I44">
            <v>7.2</v>
          </cell>
          <cell r="J44">
            <v>17</v>
          </cell>
          <cell r="K44">
            <v>140.1</v>
          </cell>
          <cell r="L44">
            <v>130.69999999999999</v>
          </cell>
          <cell r="M44">
            <v>9.4</v>
          </cell>
          <cell r="N44">
            <v>15.2</v>
          </cell>
          <cell r="O44">
            <v>118.7</v>
          </cell>
          <cell r="P44">
            <v>116</v>
          </cell>
          <cell r="Q44">
            <v>2.7</v>
          </cell>
        </row>
        <row r="45">
          <cell r="C45" t="str">
            <v>情報通信機械器具</v>
          </cell>
          <cell r="F45" t="str">
            <v>#17.3</v>
          </cell>
          <cell r="G45" t="str">
            <v>#148</v>
          </cell>
          <cell r="H45" t="str">
            <v>#128.3</v>
          </cell>
          <cell r="I45" t="str">
            <v>#19.7</v>
          </cell>
          <cell r="J45" t="str">
            <v>#17.7</v>
          </cell>
          <cell r="K45" t="str">
            <v>#156</v>
          </cell>
          <cell r="L45" t="str">
            <v>#133.7</v>
          </cell>
          <cell r="M45" t="str">
            <v>#22.3</v>
          </cell>
          <cell r="N45" t="str">
            <v>#17</v>
          </cell>
          <cell r="O45" t="str">
            <v>#141.2</v>
          </cell>
          <cell r="P45" t="str">
            <v>#123.7</v>
          </cell>
          <cell r="Q45" t="str">
            <v>#17.5</v>
          </cell>
        </row>
        <row r="46">
          <cell r="C46" t="str">
            <v>輸送用機械器具</v>
          </cell>
          <cell r="F46">
            <v>15.7</v>
          </cell>
          <cell r="G46">
            <v>145.30000000000001</v>
          </cell>
          <cell r="H46">
            <v>126.8</v>
          </cell>
          <cell r="I46">
            <v>18.5</v>
          </cell>
          <cell r="J46">
            <v>15.7</v>
          </cell>
          <cell r="K46">
            <v>147.5</v>
          </cell>
          <cell r="L46">
            <v>127.4</v>
          </cell>
          <cell r="M46">
            <v>20.100000000000001</v>
          </cell>
          <cell r="N46">
            <v>15.8</v>
          </cell>
          <cell r="O46">
            <v>135.6</v>
          </cell>
          <cell r="P46">
            <v>124.2</v>
          </cell>
          <cell r="Q46">
            <v>11.4</v>
          </cell>
        </row>
        <row r="47">
          <cell r="C47" t="str">
            <v>その他の製造業</v>
          </cell>
          <cell r="F47">
            <v>16.5</v>
          </cell>
          <cell r="G47">
            <v>141.6</v>
          </cell>
          <cell r="H47">
            <v>118.1</v>
          </cell>
          <cell r="I47">
            <v>23.5</v>
          </cell>
          <cell r="J47">
            <v>16.899999999999999</v>
          </cell>
          <cell r="K47">
            <v>147.80000000000001</v>
          </cell>
          <cell r="L47">
            <v>120</v>
          </cell>
          <cell r="M47">
            <v>27.8</v>
          </cell>
          <cell r="N47">
            <v>15.3</v>
          </cell>
          <cell r="O47">
            <v>118.9</v>
          </cell>
          <cell r="P47">
            <v>111.1</v>
          </cell>
          <cell r="Q47">
            <v>7.8</v>
          </cell>
        </row>
        <row r="48">
          <cell r="C48" t="str">
            <v>Ｅ一括分１</v>
          </cell>
          <cell r="F48">
            <v>17.3</v>
          </cell>
          <cell r="G48">
            <v>152.5</v>
          </cell>
          <cell r="H48">
            <v>140.6</v>
          </cell>
          <cell r="I48">
            <v>11.9</v>
          </cell>
          <cell r="J48">
            <v>17.7</v>
          </cell>
          <cell r="K48">
            <v>160.9</v>
          </cell>
          <cell r="L48">
            <v>145.1</v>
          </cell>
          <cell r="M48">
            <v>15.8</v>
          </cell>
          <cell r="N48">
            <v>16.600000000000001</v>
          </cell>
          <cell r="O48">
            <v>140.1</v>
          </cell>
          <cell r="P48">
            <v>134</v>
          </cell>
          <cell r="Q48">
            <v>6.1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19.3</v>
          </cell>
          <cell r="G51">
            <v>157.1</v>
          </cell>
          <cell r="H51">
            <v>148.4</v>
          </cell>
          <cell r="I51">
            <v>8.6999999999999993</v>
          </cell>
          <cell r="J51">
            <v>19.7</v>
          </cell>
          <cell r="K51">
            <v>162.9</v>
          </cell>
          <cell r="L51">
            <v>151.9</v>
          </cell>
          <cell r="M51">
            <v>11</v>
          </cell>
          <cell r="N51">
            <v>18.5</v>
          </cell>
          <cell r="O51">
            <v>143</v>
          </cell>
          <cell r="P51">
            <v>140</v>
          </cell>
          <cell r="Q51">
            <v>3</v>
          </cell>
        </row>
        <row r="52">
          <cell r="C52" t="str">
            <v>小売業</v>
          </cell>
          <cell r="F52">
            <v>17.899999999999999</v>
          </cell>
          <cell r="G52">
            <v>120.8</v>
          </cell>
          <cell r="H52">
            <v>113.2</v>
          </cell>
          <cell r="I52">
            <v>7.6</v>
          </cell>
          <cell r="J52">
            <v>18.8</v>
          </cell>
          <cell r="K52">
            <v>144.69999999999999</v>
          </cell>
          <cell r="L52">
            <v>130.69999999999999</v>
          </cell>
          <cell r="M52">
            <v>14</v>
          </cell>
          <cell r="N52">
            <v>17.5</v>
          </cell>
          <cell r="O52">
            <v>110.3</v>
          </cell>
          <cell r="P52">
            <v>105.5</v>
          </cell>
          <cell r="Q52">
            <v>4.8</v>
          </cell>
        </row>
        <row r="53">
          <cell r="C53" t="str">
            <v>宿泊業</v>
          </cell>
          <cell r="F53">
            <v>18.600000000000001</v>
          </cell>
          <cell r="G53">
            <v>126</v>
          </cell>
          <cell r="H53">
            <v>117</v>
          </cell>
          <cell r="I53">
            <v>9</v>
          </cell>
          <cell r="J53">
            <v>19.3</v>
          </cell>
          <cell r="K53">
            <v>142.5</v>
          </cell>
          <cell r="L53">
            <v>129.19999999999999</v>
          </cell>
          <cell r="M53">
            <v>13.3</v>
          </cell>
          <cell r="N53">
            <v>18.2</v>
          </cell>
          <cell r="O53">
            <v>114.6</v>
          </cell>
          <cell r="P53">
            <v>108.6</v>
          </cell>
          <cell r="Q53">
            <v>6</v>
          </cell>
        </row>
        <row r="54">
          <cell r="C54" t="str">
            <v>Ｍ一括分</v>
          </cell>
          <cell r="F54">
            <v>12.7</v>
          </cell>
          <cell r="G54">
            <v>81.2</v>
          </cell>
          <cell r="H54">
            <v>77.3</v>
          </cell>
          <cell r="I54">
            <v>3.9</v>
          </cell>
          <cell r="J54">
            <v>13.1</v>
          </cell>
          <cell r="K54">
            <v>86.7</v>
          </cell>
          <cell r="L54">
            <v>80.599999999999994</v>
          </cell>
          <cell r="M54">
            <v>6.1</v>
          </cell>
          <cell r="N54">
            <v>12.6</v>
          </cell>
          <cell r="O54">
            <v>78.599999999999994</v>
          </cell>
          <cell r="P54">
            <v>75.7</v>
          </cell>
          <cell r="Q54">
            <v>2.9</v>
          </cell>
        </row>
        <row r="55">
          <cell r="C55" t="str">
            <v>医療業</v>
          </cell>
          <cell r="F55">
            <v>18.399999999999999</v>
          </cell>
          <cell r="G55">
            <v>141.1</v>
          </cell>
          <cell r="H55">
            <v>134.69999999999999</v>
          </cell>
          <cell r="I55">
            <v>6.4</v>
          </cell>
          <cell r="J55">
            <v>18.600000000000001</v>
          </cell>
          <cell r="K55">
            <v>146.5</v>
          </cell>
          <cell r="L55">
            <v>138.69999999999999</v>
          </cell>
          <cell r="M55">
            <v>7.8</v>
          </cell>
          <cell r="N55">
            <v>18.3</v>
          </cell>
          <cell r="O55">
            <v>139.19999999999999</v>
          </cell>
          <cell r="P55">
            <v>133.30000000000001</v>
          </cell>
          <cell r="Q55">
            <v>5.9</v>
          </cell>
        </row>
        <row r="56">
          <cell r="C56" t="str">
            <v>Ｐ一括分</v>
          </cell>
          <cell r="F56">
            <v>18.3</v>
          </cell>
          <cell r="G56">
            <v>136.69999999999999</v>
          </cell>
          <cell r="H56">
            <v>132.30000000000001</v>
          </cell>
          <cell r="I56">
            <v>4.4000000000000004</v>
          </cell>
          <cell r="J56">
            <v>18.899999999999999</v>
          </cell>
          <cell r="K56">
            <v>146.19999999999999</v>
          </cell>
          <cell r="L56">
            <v>141.80000000000001</v>
          </cell>
          <cell r="M56">
            <v>4.4000000000000004</v>
          </cell>
          <cell r="N56">
            <v>18.100000000000001</v>
          </cell>
          <cell r="O56">
            <v>132.69999999999999</v>
          </cell>
          <cell r="P56">
            <v>128.19999999999999</v>
          </cell>
          <cell r="Q56">
            <v>4.5</v>
          </cell>
        </row>
        <row r="57">
          <cell r="C57" t="str">
            <v>職業紹介・派遣業</v>
          </cell>
          <cell r="F57">
            <v>16.8</v>
          </cell>
          <cell r="G57">
            <v>139.30000000000001</v>
          </cell>
          <cell r="H57">
            <v>131.80000000000001</v>
          </cell>
          <cell r="I57">
            <v>7.5</v>
          </cell>
          <cell r="J57">
            <v>17.2</v>
          </cell>
          <cell r="K57">
            <v>154.80000000000001</v>
          </cell>
          <cell r="L57">
            <v>143.5</v>
          </cell>
          <cell r="M57">
            <v>11.3</v>
          </cell>
          <cell r="N57">
            <v>16.600000000000001</v>
          </cell>
          <cell r="O57">
            <v>127.7</v>
          </cell>
          <cell r="P57">
            <v>123.1</v>
          </cell>
          <cell r="Q57">
            <v>4.5999999999999996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17.8</v>
          </cell>
          <cell r="G59">
            <v>130.9</v>
          </cell>
          <cell r="H59">
            <v>122.1</v>
          </cell>
          <cell r="I59">
            <v>8.8000000000000007</v>
          </cell>
          <cell r="J59">
            <v>18.2</v>
          </cell>
          <cell r="K59">
            <v>148.5</v>
          </cell>
          <cell r="L59">
            <v>135.9</v>
          </cell>
          <cell r="M59">
            <v>12.6</v>
          </cell>
          <cell r="N59">
            <v>17.399999999999999</v>
          </cell>
          <cell r="O59">
            <v>112.2</v>
          </cell>
          <cell r="P59">
            <v>107.4</v>
          </cell>
          <cell r="Q59">
            <v>4.8</v>
          </cell>
        </row>
        <row r="60">
          <cell r="C60" t="str">
            <v>特掲産業１</v>
          </cell>
          <cell r="F60" t="str">
            <v>#14.5</v>
          </cell>
          <cell r="G60" t="str">
            <v>#113.5</v>
          </cell>
          <cell r="H60" t="str">
            <v>#108.8</v>
          </cell>
          <cell r="I60" t="str">
            <v>#4.7</v>
          </cell>
          <cell r="J60" t="str">
            <v>#14.8</v>
          </cell>
          <cell r="K60" t="str">
            <v>#119.6</v>
          </cell>
          <cell r="L60" t="str">
            <v>#114.4</v>
          </cell>
          <cell r="M60" t="str">
            <v>#5.2</v>
          </cell>
          <cell r="N60" t="str">
            <v>#13.7</v>
          </cell>
          <cell r="O60" t="str">
            <v>#100.8</v>
          </cell>
          <cell r="P60" t="str">
            <v>#97.2</v>
          </cell>
          <cell r="Q60" t="str">
            <v>#3.6</v>
          </cell>
        </row>
        <row r="61">
          <cell r="C61" t="str">
            <v>特掲産業２</v>
          </cell>
          <cell r="F61" t="str">
            <v>#15.2</v>
          </cell>
          <cell r="G61" t="str">
            <v>#137.5</v>
          </cell>
          <cell r="H61" t="str">
            <v>#129.7</v>
          </cell>
          <cell r="I61" t="str">
            <v>#7.8</v>
          </cell>
          <cell r="J61" t="str">
            <v>#15.8</v>
          </cell>
          <cell r="K61" t="str">
            <v>#143.8</v>
          </cell>
          <cell r="L61" t="str">
            <v>#131</v>
          </cell>
          <cell r="M61" t="str">
            <v>#12.8</v>
          </cell>
          <cell r="N61" t="str">
            <v>#14.5</v>
          </cell>
          <cell r="O61" t="str">
            <v>#130.5</v>
          </cell>
          <cell r="P61" t="str">
            <v>#128.3</v>
          </cell>
          <cell r="Q61" t="str">
            <v>#2.2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17.5</v>
          </cell>
          <cell r="G80">
            <v>133.6</v>
          </cell>
          <cell r="H80">
            <v>124.5</v>
          </cell>
          <cell r="I80">
            <v>9.1</v>
          </cell>
          <cell r="J80">
            <v>18</v>
          </cell>
          <cell r="K80">
            <v>146.1</v>
          </cell>
          <cell r="L80">
            <v>133</v>
          </cell>
          <cell r="M80">
            <v>13.1</v>
          </cell>
          <cell r="N80">
            <v>17</v>
          </cell>
          <cell r="O80">
            <v>121.9</v>
          </cell>
          <cell r="P80">
            <v>116.5</v>
          </cell>
          <cell r="Q80">
            <v>5.4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18.5</v>
          </cell>
          <cell r="G82">
            <v>147.1</v>
          </cell>
          <cell r="H82">
            <v>136</v>
          </cell>
          <cell r="I82">
            <v>11.1</v>
          </cell>
          <cell r="J82">
            <v>18.5</v>
          </cell>
          <cell r="K82">
            <v>150.4</v>
          </cell>
          <cell r="L82">
            <v>137.9</v>
          </cell>
          <cell r="M82">
            <v>12.5</v>
          </cell>
          <cell r="N82">
            <v>18.399999999999999</v>
          </cell>
          <cell r="O82">
            <v>129.69999999999999</v>
          </cell>
          <cell r="P82">
            <v>125.9</v>
          </cell>
          <cell r="Q82">
            <v>3.8</v>
          </cell>
        </row>
        <row r="83">
          <cell r="C83" t="str">
            <v>製造業</v>
          </cell>
          <cell r="F83">
            <v>17.5</v>
          </cell>
          <cell r="G83">
            <v>144.19999999999999</v>
          </cell>
          <cell r="H83">
            <v>131.1</v>
          </cell>
          <cell r="I83">
            <v>13.1</v>
          </cell>
          <cell r="J83">
            <v>17.899999999999999</v>
          </cell>
          <cell r="K83">
            <v>152.9</v>
          </cell>
          <cell r="L83">
            <v>135.9</v>
          </cell>
          <cell r="M83">
            <v>17</v>
          </cell>
          <cell r="N83">
            <v>16.899999999999999</v>
          </cell>
          <cell r="O83">
            <v>132</v>
          </cell>
          <cell r="P83">
            <v>124.5</v>
          </cell>
          <cell r="Q83">
            <v>7.5</v>
          </cell>
        </row>
        <row r="84">
          <cell r="C84" t="str">
            <v>電気・ガス・熱供給・水道業</v>
          </cell>
          <cell r="F84">
            <v>17.2</v>
          </cell>
          <cell r="G84">
            <v>139</v>
          </cell>
          <cell r="H84">
            <v>127.3</v>
          </cell>
          <cell r="I84">
            <v>11.7</v>
          </cell>
          <cell r="J84">
            <v>17.2</v>
          </cell>
          <cell r="K84">
            <v>140.4</v>
          </cell>
          <cell r="L84">
            <v>127.6</v>
          </cell>
          <cell r="M84">
            <v>12.8</v>
          </cell>
          <cell r="N84">
            <v>17.3</v>
          </cell>
          <cell r="O84">
            <v>130.1</v>
          </cell>
          <cell r="P84">
            <v>125.7</v>
          </cell>
          <cell r="Q84">
            <v>4.4000000000000004</v>
          </cell>
        </row>
        <row r="85">
          <cell r="C85" t="str">
            <v>情報通信業</v>
          </cell>
          <cell r="F85">
            <v>17.399999999999999</v>
          </cell>
          <cell r="G85">
            <v>146.4</v>
          </cell>
          <cell r="H85">
            <v>134.69999999999999</v>
          </cell>
          <cell r="I85">
            <v>11.7</v>
          </cell>
          <cell r="J85">
            <v>17.5</v>
          </cell>
          <cell r="K85">
            <v>148.1</v>
          </cell>
          <cell r="L85">
            <v>135.19999999999999</v>
          </cell>
          <cell r="M85">
            <v>12.9</v>
          </cell>
          <cell r="N85">
            <v>17.2</v>
          </cell>
          <cell r="O85">
            <v>142.5</v>
          </cell>
          <cell r="P85">
            <v>133.6</v>
          </cell>
          <cell r="Q85">
            <v>8.9</v>
          </cell>
        </row>
        <row r="86">
          <cell r="C86" t="str">
            <v>運輸業，郵便業</v>
          </cell>
          <cell r="F86">
            <v>18.7</v>
          </cell>
          <cell r="G86">
            <v>163.19999999999999</v>
          </cell>
          <cell r="H86">
            <v>136.5</v>
          </cell>
          <cell r="I86">
            <v>26.7</v>
          </cell>
          <cell r="J86">
            <v>19</v>
          </cell>
          <cell r="K86">
            <v>169.4</v>
          </cell>
          <cell r="L86">
            <v>139.1</v>
          </cell>
          <cell r="M86">
            <v>30.3</v>
          </cell>
          <cell r="N86">
            <v>17.100000000000001</v>
          </cell>
          <cell r="O86">
            <v>131.30000000000001</v>
          </cell>
          <cell r="P86">
            <v>123.1</v>
          </cell>
          <cell r="Q86">
            <v>8.1999999999999993</v>
          </cell>
        </row>
        <row r="87">
          <cell r="C87" t="str">
            <v>卸売業，小売業</v>
          </cell>
          <cell r="F87">
            <v>17.899999999999999</v>
          </cell>
          <cell r="G87">
            <v>133.30000000000001</v>
          </cell>
          <cell r="H87">
            <v>125.6</v>
          </cell>
          <cell r="I87">
            <v>7.7</v>
          </cell>
          <cell r="J87">
            <v>18.399999999999999</v>
          </cell>
          <cell r="K87">
            <v>148.6</v>
          </cell>
          <cell r="L87">
            <v>137.80000000000001</v>
          </cell>
          <cell r="M87">
            <v>10.8</v>
          </cell>
          <cell r="N87">
            <v>17.399999999999999</v>
          </cell>
          <cell r="O87">
            <v>116.4</v>
          </cell>
          <cell r="P87">
            <v>112.1</v>
          </cell>
          <cell r="Q87">
            <v>4.3</v>
          </cell>
        </row>
        <row r="88">
          <cell r="C88" t="str">
            <v>金融業，保険業</v>
          </cell>
          <cell r="F88">
            <v>16.600000000000001</v>
          </cell>
          <cell r="G88">
            <v>124.5</v>
          </cell>
          <cell r="H88">
            <v>120</v>
          </cell>
          <cell r="I88">
            <v>4.5</v>
          </cell>
          <cell r="J88">
            <v>17.100000000000001</v>
          </cell>
          <cell r="K88">
            <v>134.80000000000001</v>
          </cell>
          <cell r="L88">
            <v>128.6</v>
          </cell>
          <cell r="M88">
            <v>6.2</v>
          </cell>
          <cell r="N88">
            <v>16.2</v>
          </cell>
          <cell r="O88">
            <v>116.9</v>
          </cell>
          <cell r="P88">
            <v>113.6</v>
          </cell>
          <cell r="Q88">
            <v>3.3</v>
          </cell>
        </row>
        <row r="89">
          <cell r="C89" t="str">
            <v>不動産業，物品賃貸業</v>
          </cell>
          <cell r="F89">
            <v>15.6</v>
          </cell>
          <cell r="G89">
            <v>110.3</v>
          </cell>
          <cell r="H89">
            <v>107.9</v>
          </cell>
          <cell r="I89">
            <v>2.4</v>
          </cell>
          <cell r="J89">
            <v>18.3</v>
          </cell>
          <cell r="K89">
            <v>147.9</v>
          </cell>
          <cell r="L89">
            <v>141.69999999999999</v>
          </cell>
          <cell r="M89">
            <v>6.2</v>
          </cell>
          <cell r="N89">
            <v>13.9</v>
          </cell>
          <cell r="O89">
            <v>87.7</v>
          </cell>
          <cell r="P89">
            <v>87.6</v>
          </cell>
          <cell r="Q89">
            <v>0.1</v>
          </cell>
        </row>
        <row r="90">
          <cell r="C90" t="str">
            <v>学術研究，専門・技術サービス業</v>
          </cell>
          <cell r="F90">
            <v>17.399999999999999</v>
          </cell>
          <cell r="G90">
            <v>126.1</v>
          </cell>
          <cell r="H90">
            <v>118</v>
          </cell>
          <cell r="I90">
            <v>8.1</v>
          </cell>
          <cell r="J90">
            <v>17.3</v>
          </cell>
          <cell r="K90">
            <v>138.19999999999999</v>
          </cell>
          <cell r="L90">
            <v>130.6</v>
          </cell>
          <cell r="M90">
            <v>7.6</v>
          </cell>
          <cell r="N90">
            <v>17.600000000000001</v>
          </cell>
          <cell r="O90">
            <v>107.4</v>
          </cell>
          <cell r="P90">
            <v>98.5</v>
          </cell>
          <cell r="Q90">
            <v>8.9</v>
          </cell>
        </row>
        <row r="91">
          <cell r="C91" t="str">
            <v>宿泊業，飲食サービス業</v>
          </cell>
          <cell r="F91">
            <v>14.6</v>
          </cell>
          <cell r="G91">
            <v>85.3</v>
          </cell>
          <cell r="H91">
            <v>81.3</v>
          </cell>
          <cell r="I91">
            <v>4</v>
          </cell>
          <cell r="J91">
            <v>15.3</v>
          </cell>
          <cell r="K91">
            <v>90.7</v>
          </cell>
          <cell r="L91">
            <v>85.7</v>
          </cell>
          <cell r="M91">
            <v>5</v>
          </cell>
          <cell r="N91">
            <v>14.3</v>
          </cell>
          <cell r="O91">
            <v>82.6</v>
          </cell>
          <cell r="P91">
            <v>79.099999999999994</v>
          </cell>
          <cell r="Q91">
            <v>3.5</v>
          </cell>
        </row>
        <row r="92">
          <cell r="C92" t="str">
            <v>生活関連サービス業，娯楽業</v>
          </cell>
          <cell r="F92">
            <v>16.3</v>
          </cell>
          <cell r="G92">
            <v>114.9</v>
          </cell>
          <cell r="H92">
            <v>109.2</v>
          </cell>
          <cell r="I92">
            <v>5.7</v>
          </cell>
          <cell r="J92">
            <v>16.2</v>
          </cell>
          <cell r="K92">
            <v>119.9</v>
          </cell>
          <cell r="L92">
            <v>113.9</v>
          </cell>
          <cell r="M92">
            <v>6</v>
          </cell>
          <cell r="N92">
            <v>16.399999999999999</v>
          </cell>
          <cell r="O92">
            <v>108.9</v>
          </cell>
          <cell r="P92">
            <v>103.6</v>
          </cell>
          <cell r="Q92">
            <v>5.3</v>
          </cell>
        </row>
        <row r="93">
          <cell r="C93" t="str">
            <v>教育，学習支援業</v>
          </cell>
          <cell r="F93">
            <v>16.8</v>
          </cell>
          <cell r="G93">
            <v>137</v>
          </cell>
          <cell r="H93">
            <v>120.6</v>
          </cell>
          <cell r="I93">
            <v>16.399999999999999</v>
          </cell>
          <cell r="J93">
            <v>17.2</v>
          </cell>
          <cell r="K93">
            <v>145.1</v>
          </cell>
          <cell r="L93">
            <v>123.6</v>
          </cell>
          <cell r="M93">
            <v>21.5</v>
          </cell>
          <cell r="N93">
            <v>16.5</v>
          </cell>
          <cell r="O93">
            <v>129.9</v>
          </cell>
          <cell r="P93">
            <v>118</v>
          </cell>
          <cell r="Q93">
            <v>11.9</v>
          </cell>
        </row>
        <row r="94">
          <cell r="C94" t="str">
            <v>医療，福祉</v>
          </cell>
          <cell r="F94">
            <v>18</v>
          </cell>
          <cell r="G94">
            <v>134.1</v>
          </cell>
          <cell r="H94">
            <v>129.5</v>
          </cell>
          <cell r="I94">
            <v>4.5999999999999996</v>
          </cell>
          <cell r="J94">
            <v>18.8</v>
          </cell>
          <cell r="K94">
            <v>143.4</v>
          </cell>
          <cell r="L94">
            <v>138.6</v>
          </cell>
          <cell r="M94">
            <v>4.8</v>
          </cell>
          <cell r="N94">
            <v>17.8</v>
          </cell>
          <cell r="O94">
            <v>131.1</v>
          </cell>
          <cell r="P94">
            <v>126.6</v>
          </cell>
          <cell r="Q94">
            <v>4.5</v>
          </cell>
        </row>
        <row r="95">
          <cell r="C95" t="str">
            <v>複合サービス事業</v>
          </cell>
          <cell r="F95">
            <v>18.3</v>
          </cell>
          <cell r="G95">
            <v>144.9</v>
          </cell>
          <cell r="H95">
            <v>141.4</v>
          </cell>
          <cell r="I95">
            <v>3.5</v>
          </cell>
          <cell r="J95">
            <v>17.899999999999999</v>
          </cell>
          <cell r="K95">
            <v>144.1</v>
          </cell>
          <cell r="L95">
            <v>140.4</v>
          </cell>
          <cell r="M95">
            <v>3.7</v>
          </cell>
          <cell r="N95">
            <v>19.100000000000001</v>
          </cell>
          <cell r="O95">
            <v>146.4</v>
          </cell>
          <cell r="P95">
            <v>143.19999999999999</v>
          </cell>
          <cell r="Q95">
            <v>3.2</v>
          </cell>
        </row>
        <row r="96">
          <cell r="C96" t="str">
            <v>サービス業（他に分類されないもの）</v>
          </cell>
          <cell r="F96">
            <v>17.600000000000001</v>
          </cell>
          <cell r="G96">
            <v>133.80000000000001</v>
          </cell>
          <cell r="H96">
            <v>126</v>
          </cell>
          <cell r="I96">
            <v>7.8</v>
          </cell>
          <cell r="J96">
            <v>18.3</v>
          </cell>
          <cell r="K96">
            <v>150.4</v>
          </cell>
          <cell r="L96">
            <v>139.1</v>
          </cell>
          <cell r="M96">
            <v>11.3</v>
          </cell>
          <cell r="N96">
            <v>16.899999999999999</v>
          </cell>
          <cell r="O96">
            <v>118.5</v>
          </cell>
          <cell r="P96">
            <v>113.9</v>
          </cell>
          <cell r="Q96">
            <v>4.5999999999999996</v>
          </cell>
        </row>
        <row r="97">
          <cell r="C97" t="str">
            <v>食料品・たばこ</v>
          </cell>
          <cell r="F97">
            <v>17.100000000000001</v>
          </cell>
          <cell r="G97">
            <v>137.69999999999999</v>
          </cell>
          <cell r="H97">
            <v>127.2</v>
          </cell>
          <cell r="I97">
            <v>10.5</v>
          </cell>
          <cell r="J97">
            <v>18</v>
          </cell>
          <cell r="K97">
            <v>151.5</v>
          </cell>
          <cell r="L97">
            <v>137.69999999999999</v>
          </cell>
          <cell r="M97">
            <v>13.8</v>
          </cell>
          <cell r="N97">
            <v>16.5</v>
          </cell>
          <cell r="O97">
            <v>127.8</v>
          </cell>
          <cell r="P97">
            <v>119.6</v>
          </cell>
          <cell r="Q97">
            <v>8.1999999999999993</v>
          </cell>
        </row>
        <row r="98">
          <cell r="C98" t="str">
            <v>繊維工業</v>
          </cell>
          <cell r="F98">
            <v>17.8</v>
          </cell>
          <cell r="G98">
            <v>149.5</v>
          </cell>
          <cell r="H98">
            <v>134.9</v>
          </cell>
          <cell r="I98">
            <v>14.6</v>
          </cell>
          <cell r="J98">
            <v>18.600000000000001</v>
          </cell>
          <cell r="K98">
            <v>159.80000000000001</v>
          </cell>
          <cell r="L98">
            <v>139.30000000000001</v>
          </cell>
          <cell r="M98">
            <v>20.5</v>
          </cell>
          <cell r="N98">
            <v>17.399999999999999</v>
          </cell>
          <cell r="O98">
            <v>144</v>
          </cell>
          <cell r="P98">
            <v>132.6</v>
          </cell>
          <cell r="Q98">
            <v>11.4</v>
          </cell>
        </row>
        <row r="99">
          <cell r="C99" t="str">
            <v>木材・木製品</v>
          </cell>
          <cell r="F99">
            <v>17.8</v>
          </cell>
          <cell r="G99">
            <v>138</v>
          </cell>
          <cell r="H99">
            <v>128.69999999999999</v>
          </cell>
          <cell r="I99">
            <v>9.3000000000000007</v>
          </cell>
          <cell r="J99">
            <v>17.399999999999999</v>
          </cell>
          <cell r="K99">
            <v>140.19999999999999</v>
          </cell>
          <cell r="L99">
            <v>128.30000000000001</v>
          </cell>
          <cell r="M99">
            <v>11.9</v>
          </cell>
          <cell r="N99">
            <v>18.8</v>
          </cell>
          <cell r="O99">
            <v>133.1</v>
          </cell>
          <cell r="P99">
            <v>129.69999999999999</v>
          </cell>
          <cell r="Q99">
            <v>3.4</v>
          </cell>
        </row>
        <row r="100">
          <cell r="C100" t="str">
            <v>家具・装備品</v>
          </cell>
          <cell r="F100" t="str">
            <v>#16.2</v>
          </cell>
          <cell r="G100" t="str">
            <v>#120.6</v>
          </cell>
          <cell r="H100" t="str">
            <v>#120.6</v>
          </cell>
          <cell r="I100" t="str">
            <v>#0</v>
          </cell>
          <cell r="J100" t="str">
            <v>#16.4</v>
          </cell>
          <cell r="K100" t="str">
            <v>#126.3</v>
          </cell>
          <cell r="L100" t="str">
            <v>#126.3</v>
          </cell>
          <cell r="M100" t="str">
            <v>#0</v>
          </cell>
          <cell r="N100" t="str">
            <v>#15.6</v>
          </cell>
          <cell r="O100" t="str">
            <v>#104.8</v>
          </cell>
          <cell r="P100" t="str">
            <v>#104.8</v>
          </cell>
          <cell r="Q100" t="str">
            <v>#0</v>
          </cell>
        </row>
        <row r="101">
          <cell r="C101" t="str">
            <v>パルプ・紙</v>
          </cell>
          <cell r="F101">
            <v>19</v>
          </cell>
          <cell r="G101">
            <v>150.6</v>
          </cell>
          <cell r="H101">
            <v>139.4</v>
          </cell>
          <cell r="I101">
            <v>11.2</v>
          </cell>
          <cell r="J101">
            <v>19.2</v>
          </cell>
          <cell r="K101">
            <v>154.19999999999999</v>
          </cell>
          <cell r="L101">
            <v>139.80000000000001</v>
          </cell>
          <cell r="M101">
            <v>14.4</v>
          </cell>
          <cell r="N101">
            <v>18.5</v>
          </cell>
          <cell r="O101">
            <v>139.1</v>
          </cell>
          <cell r="P101">
            <v>138.19999999999999</v>
          </cell>
          <cell r="Q101">
            <v>0.9</v>
          </cell>
        </row>
        <row r="102">
          <cell r="C102" t="str">
            <v>印刷・同関連業</v>
          </cell>
          <cell r="F102">
            <v>18.600000000000001</v>
          </cell>
          <cell r="G102">
            <v>142</v>
          </cell>
          <cell r="H102">
            <v>132.4</v>
          </cell>
          <cell r="I102">
            <v>9.6</v>
          </cell>
          <cell r="J102">
            <v>18.7</v>
          </cell>
          <cell r="K102">
            <v>140.5</v>
          </cell>
          <cell r="L102">
            <v>133</v>
          </cell>
          <cell r="M102">
            <v>7.5</v>
          </cell>
          <cell r="N102">
            <v>18.399999999999999</v>
          </cell>
          <cell r="O102">
            <v>144.4</v>
          </cell>
          <cell r="P102">
            <v>131.4</v>
          </cell>
          <cell r="Q102">
            <v>13</v>
          </cell>
        </row>
        <row r="103">
          <cell r="C103" t="str">
            <v>化学、石油・石炭</v>
          </cell>
          <cell r="F103">
            <v>18</v>
          </cell>
          <cell r="G103">
            <v>151.9</v>
          </cell>
          <cell r="H103">
            <v>130.9</v>
          </cell>
          <cell r="I103">
            <v>21</v>
          </cell>
          <cell r="J103">
            <v>18.100000000000001</v>
          </cell>
          <cell r="K103">
            <v>153.80000000000001</v>
          </cell>
          <cell r="L103">
            <v>131.5</v>
          </cell>
          <cell r="M103">
            <v>22.3</v>
          </cell>
          <cell r="N103">
            <v>17</v>
          </cell>
          <cell r="O103">
            <v>128.9</v>
          </cell>
          <cell r="P103">
            <v>123.7</v>
          </cell>
          <cell r="Q103">
            <v>5.2</v>
          </cell>
        </row>
        <row r="104">
          <cell r="C104" t="str">
            <v>プラスチック製品</v>
          </cell>
          <cell r="F104">
            <v>17.8</v>
          </cell>
          <cell r="G104">
            <v>141</v>
          </cell>
          <cell r="H104">
            <v>130.1</v>
          </cell>
          <cell r="I104">
            <v>10.9</v>
          </cell>
          <cell r="J104">
            <v>18.2</v>
          </cell>
          <cell r="K104">
            <v>149.6</v>
          </cell>
          <cell r="L104">
            <v>135.4</v>
          </cell>
          <cell r="M104">
            <v>14.2</v>
          </cell>
          <cell r="N104">
            <v>16.3</v>
          </cell>
          <cell r="O104">
            <v>115.3</v>
          </cell>
          <cell r="P104">
            <v>114.2</v>
          </cell>
          <cell r="Q104">
            <v>1.1000000000000001</v>
          </cell>
        </row>
        <row r="105">
          <cell r="C105" t="str">
            <v>ゴム製品</v>
          </cell>
          <cell r="F105">
            <v>17.3</v>
          </cell>
          <cell r="G105">
            <v>148.80000000000001</v>
          </cell>
          <cell r="H105">
            <v>128.19999999999999</v>
          </cell>
          <cell r="I105">
            <v>20.6</v>
          </cell>
          <cell r="J105">
            <v>17.3</v>
          </cell>
          <cell r="K105">
            <v>149.6</v>
          </cell>
          <cell r="L105">
            <v>127.2</v>
          </cell>
          <cell r="M105">
            <v>22.4</v>
          </cell>
          <cell r="N105">
            <v>17.3</v>
          </cell>
          <cell r="O105">
            <v>143.4</v>
          </cell>
          <cell r="P105">
            <v>134.6</v>
          </cell>
          <cell r="Q105">
            <v>8.8000000000000007</v>
          </cell>
        </row>
        <row r="106">
          <cell r="C106" t="str">
            <v>窯業・土石製品</v>
          </cell>
          <cell r="F106">
            <v>15.6</v>
          </cell>
          <cell r="G106">
            <v>135.19999999999999</v>
          </cell>
          <cell r="H106">
            <v>122.3</v>
          </cell>
          <cell r="I106">
            <v>12.9</v>
          </cell>
          <cell r="J106">
            <v>15.3</v>
          </cell>
          <cell r="K106">
            <v>137.9</v>
          </cell>
          <cell r="L106">
            <v>121.4</v>
          </cell>
          <cell r="M106">
            <v>16.5</v>
          </cell>
          <cell r="N106">
            <v>16.399999999999999</v>
          </cell>
          <cell r="O106">
            <v>126.8</v>
          </cell>
          <cell r="P106">
            <v>125.2</v>
          </cell>
          <cell r="Q106">
            <v>1.6</v>
          </cell>
        </row>
        <row r="107">
          <cell r="C107" t="str">
            <v>鉄鋼業</v>
          </cell>
          <cell r="F107">
            <v>18.100000000000001</v>
          </cell>
          <cell r="G107">
            <v>159.19999999999999</v>
          </cell>
          <cell r="H107">
            <v>140</v>
          </cell>
          <cell r="I107">
            <v>19.2</v>
          </cell>
          <cell r="J107">
            <v>17.899999999999999</v>
          </cell>
          <cell r="K107">
            <v>162.1</v>
          </cell>
          <cell r="L107">
            <v>140.5</v>
          </cell>
          <cell r="M107">
            <v>21.6</v>
          </cell>
          <cell r="N107">
            <v>19.100000000000001</v>
          </cell>
          <cell r="O107">
            <v>147.19999999999999</v>
          </cell>
          <cell r="P107">
            <v>138</v>
          </cell>
          <cell r="Q107">
            <v>9.1999999999999993</v>
          </cell>
        </row>
        <row r="108">
          <cell r="C108" t="str">
            <v>非鉄金属製造業</v>
          </cell>
          <cell r="F108" t="str">
            <v>#16.3</v>
          </cell>
          <cell r="G108" t="str">
            <v>#130.2</v>
          </cell>
          <cell r="H108" t="str">
            <v>#128.9</v>
          </cell>
          <cell r="I108" t="str">
            <v>#1.3</v>
          </cell>
          <cell r="J108" t="str">
            <v>#17.2</v>
          </cell>
          <cell r="K108" t="str">
            <v>#139.2</v>
          </cell>
          <cell r="L108" t="str">
            <v>#137.3</v>
          </cell>
          <cell r="M108" t="str">
            <v>#1.9</v>
          </cell>
          <cell r="N108" t="str">
            <v>#15.4</v>
          </cell>
          <cell r="O108" t="str">
            <v>#121.4</v>
          </cell>
          <cell r="P108" t="str">
            <v>#120.8</v>
          </cell>
          <cell r="Q108" t="str">
            <v>#0.6</v>
          </cell>
        </row>
        <row r="109">
          <cell r="C109" t="str">
            <v>金属製品製造業</v>
          </cell>
          <cell r="F109">
            <v>19.100000000000001</v>
          </cell>
          <cell r="G109">
            <v>153.1</v>
          </cell>
          <cell r="H109">
            <v>141.80000000000001</v>
          </cell>
          <cell r="I109">
            <v>11.3</v>
          </cell>
          <cell r="J109">
            <v>19.100000000000001</v>
          </cell>
          <cell r="K109">
            <v>163.30000000000001</v>
          </cell>
          <cell r="L109">
            <v>147.30000000000001</v>
          </cell>
          <cell r="M109">
            <v>16</v>
          </cell>
          <cell r="N109">
            <v>19.100000000000001</v>
          </cell>
          <cell r="O109">
            <v>136.9</v>
          </cell>
          <cell r="P109">
            <v>133.1</v>
          </cell>
          <cell r="Q109">
            <v>3.8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16.7</v>
          </cell>
          <cell r="G112">
            <v>138.6</v>
          </cell>
          <cell r="H112">
            <v>130.4</v>
          </cell>
          <cell r="I112">
            <v>8.1999999999999993</v>
          </cell>
          <cell r="J112">
            <v>17.5</v>
          </cell>
          <cell r="K112">
            <v>147.9</v>
          </cell>
          <cell r="L112">
            <v>136.6</v>
          </cell>
          <cell r="M112">
            <v>11.3</v>
          </cell>
          <cell r="N112">
            <v>16</v>
          </cell>
          <cell r="O112">
            <v>130.5</v>
          </cell>
          <cell r="P112">
            <v>125.1</v>
          </cell>
          <cell r="Q112">
            <v>5.4</v>
          </cell>
        </row>
        <row r="113">
          <cell r="C113" t="str">
            <v>電子・デバイス</v>
          </cell>
          <cell r="F113">
            <v>18.600000000000001</v>
          </cell>
          <cell r="G113">
            <v>159.9</v>
          </cell>
          <cell r="H113">
            <v>144.9</v>
          </cell>
          <cell r="I113">
            <v>15</v>
          </cell>
          <cell r="J113">
            <v>18.899999999999999</v>
          </cell>
          <cell r="K113">
            <v>168.5</v>
          </cell>
          <cell r="L113">
            <v>149.69999999999999</v>
          </cell>
          <cell r="M113">
            <v>18.8</v>
          </cell>
          <cell r="N113">
            <v>18.100000000000001</v>
          </cell>
          <cell r="O113">
            <v>140.69999999999999</v>
          </cell>
          <cell r="P113">
            <v>134.30000000000001</v>
          </cell>
          <cell r="Q113">
            <v>6.4</v>
          </cell>
        </row>
        <row r="114">
          <cell r="C114" t="str">
            <v>電気機械器具</v>
          </cell>
          <cell r="F114">
            <v>16.399999999999999</v>
          </cell>
          <cell r="G114">
            <v>133.19999999999999</v>
          </cell>
          <cell r="H114">
            <v>126</v>
          </cell>
          <cell r="I114">
            <v>7.2</v>
          </cell>
          <cell r="J114">
            <v>17</v>
          </cell>
          <cell r="K114">
            <v>140.1</v>
          </cell>
          <cell r="L114">
            <v>130.69999999999999</v>
          </cell>
          <cell r="M114">
            <v>9.4</v>
          </cell>
          <cell r="N114">
            <v>15.2</v>
          </cell>
          <cell r="O114">
            <v>118.7</v>
          </cell>
          <cell r="P114">
            <v>116</v>
          </cell>
          <cell r="Q114">
            <v>2.7</v>
          </cell>
        </row>
        <row r="115">
          <cell r="C115" t="str">
            <v>情報通信機械器具</v>
          </cell>
          <cell r="F115" t="str">
            <v>#17.3</v>
          </cell>
          <cell r="G115" t="str">
            <v>#148</v>
          </cell>
          <cell r="H115" t="str">
            <v>#128.3</v>
          </cell>
          <cell r="I115" t="str">
            <v>#19.7</v>
          </cell>
          <cell r="J115" t="str">
            <v>#17.7</v>
          </cell>
          <cell r="K115" t="str">
            <v>#156</v>
          </cell>
          <cell r="L115" t="str">
            <v>#133.7</v>
          </cell>
          <cell r="M115" t="str">
            <v>#22.3</v>
          </cell>
          <cell r="N115" t="str">
            <v>#17</v>
          </cell>
          <cell r="O115" t="str">
            <v>#141.2</v>
          </cell>
          <cell r="P115" t="str">
            <v>#123.7</v>
          </cell>
          <cell r="Q115" t="str">
            <v>#17.5</v>
          </cell>
        </row>
        <row r="116">
          <cell r="C116" t="str">
            <v>輸送用機械器具</v>
          </cell>
          <cell r="F116">
            <v>15.7</v>
          </cell>
          <cell r="G116">
            <v>145.30000000000001</v>
          </cell>
          <cell r="H116">
            <v>126.8</v>
          </cell>
          <cell r="I116">
            <v>18.5</v>
          </cell>
          <cell r="J116">
            <v>15.7</v>
          </cell>
          <cell r="K116">
            <v>147.5</v>
          </cell>
          <cell r="L116">
            <v>127.4</v>
          </cell>
          <cell r="M116">
            <v>20.100000000000001</v>
          </cell>
          <cell r="N116">
            <v>15.8</v>
          </cell>
          <cell r="O116">
            <v>135.6</v>
          </cell>
          <cell r="P116">
            <v>124.2</v>
          </cell>
          <cell r="Q116">
            <v>11.4</v>
          </cell>
        </row>
        <row r="117">
          <cell r="C117" t="str">
            <v>その他の製造業</v>
          </cell>
          <cell r="F117">
            <v>16.5</v>
          </cell>
          <cell r="G117">
            <v>141.6</v>
          </cell>
          <cell r="H117">
            <v>118.1</v>
          </cell>
          <cell r="I117">
            <v>23.5</v>
          </cell>
          <cell r="J117">
            <v>16.899999999999999</v>
          </cell>
          <cell r="K117">
            <v>147.80000000000001</v>
          </cell>
          <cell r="L117">
            <v>120</v>
          </cell>
          <cell r="M117">
            <v>27.8</v>
          </cell>
          <cell r="N117">
            <v>15.3</v>
          </cell>
          <cell r="O117">
            <v>118.9</v>
          </cell>
          <cell r="P117">
            <v>111.1</v>
          </cell>
          <cell r="Q117">
            <v>7.8</v>
          </cell>
        </row>
        <row r="118">
          <cell r="C118" t="str">
            <v>Ｅ一括分１</v>
          </cell>
          <cell r="F118">
            <v>18.8</v>
          </cell>
          <cell r="G118">
            <v>163.1</v>
          </cell>
          <cell r="H118">
            <v>142.6</v>
          </cell>
          <cell r="I118">
            <v>20.5</v>
          </cell>
          <cell r="J118">
            <v>19.7</v>
          </cell>
          <cell r="K118">
            <v>174.2</v>
          </cell>
          <cell r="L118">
            <v>146.6</v>
          </cell>
          <cell r="M118">
            <v>27.6</v>
          </cell>
          <cell r="N118">
            <v>16.7</v>
          </cell>
          <cell r="O118">
            <v>139.4</v>
          </cell>
          <cell r="P118">
            <v>134.1</v>
          </cell>
          <cell r="Q118">
            <v>5.3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19.600000000000001</v>
          </cell>
          <cell r="G121">
            <v>162.19999999999999</v>
          </cell>
          <cell r="H121">
            <v>152.80000000000001</v>
          </cell>
          <cell r="I121">
            <v>9.4</v>
          </cell>
          <cell r="J121">
            <v>19.899999999999999</v>
          </cell>
          <cell r="K121">
            <v>168.9</v>
          </cell>
          <cell r="L121">
            <v>158.1</v>
          </cell>
          <cell r="M121">
            <v>10.8</v>
          </cell>
          <cell r="N121">
            <v>18.100000000000001</v>
          </cell>
          <cell r="O121">
            <v>134</v>
          </cell>
          <cell r="P121">
            <v>130.19999999999999</v>
          </cell>
          <cell r="Q121">
            <v>3.8</v>
          </cell>
        </row>
        <row r="122">
          <cell r="C122" t="str">
            <v>小売業</v>
          </cell>
          <cell r="F122">
            <v>17.399999999999999</v>
          </cell>
          <cell r="G122">
            <v>123.5</v>
          </cell>
          <cell r="H122">
            <v>116.4</v>
          </cell>
          <cell r="I122">
            <v>7.1</v>
          </cell>
          <cell r="J122">
            <v>17.399999999999999</v>
          </cell>
          <cell r="K122">
            <v>135.69999999999999</v>
          </cell>
          <cell r="L122">
            <v>124.9</v>
          </cell>
          <cell r="M122">
            <v>10.8</v>
          </cell>
          <cell r="N122">
            <v>17.3</v>
          </cell>
          <cell r="O122">
            <v>114.4</v>
          </cell>
          <cell r="P122">
            <v>110</v>
          </cell>
          <cell r="Q122">
            <v>4.4000000000000004</v>
          </cell>
        </row>
        <row r="123">
          <cell r="C123" t="str">
            <v>宿泊業</v>
          </cell>
          <cell r="F123">
            <v>17</v>
          </cell>
          <cell r="G123">
            <v>111.1</v>
          </cell>
          <cell r="H123">
            <v>103.6</v>
          </cell>
          <cell r="I123">
            <v>7.5</v>
          </cell>
          <cell r="J123">
            <v>19.7</v>
          </cell>
          <cell r="K123">
            <v>143.69999999999999</v>
          </cell>
          <cell r="L123">
            <v>131.5</v>
          </cell>
          <cell r="M123">
            <v>12.2</v>
          </cell>
          <cell r="N123">
            <v>15.8</v>
          </cell>
          <cell r="O123">
            <v>97.1</v>
          </cell>
          <cell r="P123">
            <v>91.7</v>
          </cell>
          <cell r="Q123">
            <v>5.4</v>
          </cell>
        </row>
        <row r="124">
          <cell r="C124" t="str">
            <v>Ｍ一括分</v>
          </cell>
          <cell r="F124">
            <v>14.2</v>
          </cell>
          <cell r="G124">
            <v>80.3</v>
          </cell>
          <cell r="H124">
            <v>76.900000000000006</v>
          </cell>
          <cell r="I124">
            <v>3.4</v>
          </cell>
          <cell r="J124">
            <v>14.6</v>
          </cell>
          <cell r="K124">
            <v>81.599999999999994</v>
          </cell>
          <cell r="L124">
            <v>77.8</v>
          </cell>
          <cell r="M124">
            <v>3.8</v>
          </cell>
          <cell r="N124">
            <v>14</v>
          </cell>
          <cell r="O124">
            <v>79.7</v>
          </cell>
          <cell r="P124">
            <v>76.5</v>
          </cell>
          <cell r="Q124">
            <v>3.2</v>
          </cell>
        </row>
        <row r="125">
          <cell r="C125" t="str">
            <v>医療業</v>
          </cell>
          <cell r="F125">
            <v>18.399999999999999</v>
          </cell>
          <cell r="G125">
            <v>137.30000000000001</v>
          </cell>
          <cell r="H125">
            <v>131.6</v>
          </cell>
          <cell r="I125">
            <v>5.7</v>
          </cell>
          <cell r="J125">
            <v>18.899999999999999</v>
          </cell>
          <cell r="K125">
            <v>146.5</v>
          </cell>
          <cell r="L125">
            <v>139.1</v>
          </cell>
          <cell r="M125">
            <v>7.4</v>
          </cell>
          <cell r="N125">
            <v>18.2</v>
          </cell>
          <cell r="O125">
            <v>134.80000000000001</v>
          </cell>
          <cell r="P125">
            <v>129.6</v>
          </cell>
          <cell r="Q125">
            <v>5.2</v>
          </cell>
        </row>
        <row r="126">
          <cell r="C126" t="str">
            <v>Ｐ一括分</v>
          </cell>
          <cell r="F126">
            <v>17.8</v>
          </cell>
          <cell r="G126">
            <v>131.30000000000001</v>
          </cell>
          <cell r="H126">
            <v>127.7</v>
          </cell>
          <cell r="I126">
            <v>3.6</v>
          </cell>
          <cell r="J126">
            <v>18.7</v>
          </cell>
          <cell r="K126">
            <v>141.4</v>
          </cell>
          <cell r="L126">
            <v>138.30000000000001</v>
          </cell>
          <cell r="M126">
            <v>3.1</v>
          </cell>
          <cell r="N126">
            <v>17.399999999999999</v>
          </cell>
          <cell r="O126">
            <v>127.6</v>
          </cell>
          <cell r="P126">
            <v>123.8</v>
          </cell>
          <cell r="Q126">
            <v>3.8</v>
          </cell>
        </row>
        <row r="127">
          <cell r="C127" t="str">
            <v>職業紹介・派遣業</v>
          </cell>
          <cell r="F127">
            <v>17</v>
          </cell>
          <cell r="G127">
            <v>139.9</v>
          </cell>
          <cell r="H127">
            <v>132.5</v>
          </cell>
          <cell r="I127">
            <v>7.4</v>
          </cell>
          <cell r="J127">
            <v>17.3</v>
          </cell>
          <cell r="K127">
            <v>153.1</v>
          </cell>
          <cell r="L127">
            <v>142.6</v>
          </cell>
          <cell r="M127">
            <v>10.5</v>
          </cell>
          <cell r="N127">
            <v>16.7</v>
          </cell>
          <cell r="O127">
            <v>129.1</v>
          </cell>
          <cell r="P127">
            <v>124.3</v>
          </cell>
          <cell r="Q127">
            <v>4.8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17.7</v>
          </cell>
          <cell r="G129">
            <v>132.6</v>
          </cell>
          <cell r="H129">
            <v>124.7</v>
          </cell>
          <cell r="I129">
            <v>7.9</v>
          </cell>
          <cell r="J129">
            <v>18.5</v>
          </cell>
          <cell r="K129">
            <v>149.9</v>
          </cell>
          <cell r="L129">
            <v>138.4</v>
          </cell>
          <cell r="M129">
            <v>11.5</v>
          </cell>
          <cell r="N129">
            <v>16.899999999999999</v>
          </cell>
          <cell r="O129">
            <v>116.1</v>
          </cell>
          <cell r="P129">
            <v>111.6</v>
          </cell>
          <cell r="Q129">
            <v>4.5</v>
          </cell>
        </row>
        <row r="130">
          <cell r="C130" t="str">
            <v>特掲産業１</v>
          </cell>
          <cell r="F130">
            <v>14.8</v>
          </cell>
          <cell r="G130">
            <v>97.3</v>
          </cell>
          <cell r="H130">
            <v>94</v>
          </cell>
          <cell r="I130">
            <v>3.3</v>
          </cell>
          <cell r="J130">
            <v>15.5</v>
          </cell>
          <cell r="K130">
            <v>100</v>
          </cell>
          <cell r="L130">
            <v>96.4</v>
          </cell>
          <cell r="M130">
            <v>3.6</v>
          </cell>
          <cell r="N130">
            <v>13</v>
          </cell>
          <cell r="O130">
            <v>91.2</v>
          </cell>
          <cell r="P130">
            <v>88.5</v>
          </cell>
          <cell r="Q130">
            <v>2.7</v>
          </cell>
        </row>
        <row r="131">
          <cell r="C131" t="str">
            <v>特掲産業２</v>
          </cell>
          <cell r="F131">
            <v>19</v>
          </cell>
          <cell r="G131">
            <v>132.9</v>
          </cell>
          <cell r="H131">
            <v>130.69999999999999</v>
          </cell>
          <cell r="I131">
            <v>2.2000000000000002</v>
          </cell>
          <cell r="J131">
            <v>18.5</v>
          </cell>
          <cell r="K131">
            <v>128.5</v>
          </cell>
          <cell r="L131">
            <v>125</v>
          </cell>
          <cell r="M131">
            <v>3.5</v>
          </cell>
          <cell r="N131">
            <v>19.600000000000001</v>
          </cell>
          <cell r="O131">
            <v>139.4</v>
          </cell>
          <cell r="P131">
            <v>139.19999999999999</v>
          </cell>
          <cell r="Q131">
            <v>0.2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-1.7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>
        <row r="9">
          <cell r="E9">
            <v>228225</v>
          </cell>
        </row>
      </sheetData>
      <sheetData sheetId="17">
        <row r="9">
          <cell r="E9">
            <v>18.2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6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153496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19.5</v>
          </cell>
          <cell r="G10">
            <v>151.19999999999999</v>
          </cell>
          <cell r="H10">
            <v>140.5</v>
          </cell>
          <cell r="I10">
            <v>10.7</v>
          </cell>
          <cell r="J10">
            <v>20</v>
          </cell>
          <cell r="K10">
            <v>164.4</v>
          </cell>
          <cell r="L10">
            <v>149.30000000000001</v>
          </cell>
          <cell r="M10">
            <v>15.1</v>
          </cell>
          <cell r="N10">
            <v>19</v>
          </cell>
          <cell r="O10">
            <v>138.30000000000001</v>
          </cell>
          <cell r="P10">
            <v>131.9</v>
          </cell>
          <cell r="Q10">
            <v>6.4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21.3</v>
          </cell>
          <cell r="G12">
            <v>167.8</v>
          </cell>
          <cell r="H12">
            <v>158</v>
          </cell>
          <cell r="I12">
            <v>9.8000000000000007</v>
          </cell>
          <cell r="J12">
            <v>21.5</v>
          </cell>
          <cell r="K12">
            <v>169.4</v>
          </cell>
          <cell r="L12">
            <v>158.30000000000001</v>
          </cell>
          <cell r="M12">
            <v>11.1</v>
          </cell>
          <cell r="N12">
            <v>20.7</v>
          </cell>
          <cell r="O12">
            <v>161.5</v>
          </cell>
          <cell r="P12">
            <v>156.6</v>
          </cell>
          <cell r="Q12">
            <v>4.9000000000000004</v>
          </cell>
        </row>
        <row r="13">
          <cell r="C13" t="str">
            <v>製造業</v>
          </cell>
          <cell r="F13">
            <v>20.100000000000001</v>
          </cell>
          <cell r="G13">
            <v>164.2</v>
          </cell>
          <cell r="H13">
            <v>152.19999999999999</v>
          </cell>
          <cell r="I13">
            <v>12</v>
          </cell>
          <cell r="J13">
            <v>20.399999999999999</v>
          </cell>
          <cell r="K13">
            <v>171.4</v>
          </cell>
          <cell r="L13">
            <v>156.30000000000001</v>
          </cell>
          <cell r="M13">
            <v>15.1</v>
          </cell>
          <cell r="N13">
            <v>19.600000000000001</v>
          </cell>
          <cell r="O13">
            <v>151.69999999999999</v>
          </cell>
          <cell r="P13">
            <v>145.1</v>
          </cell>
          <cell r="Q13">
            <v>6.6</v>
          </cell>
        </row>
        <row r="14">
          <cell r="C14" t="str">
            <v>電気・ガス・熱供給・水道業</v>
          </cell>
          <cell r="F14">
            <v>20.100000000000001</v>
          </cell>
          <cell r="G14">
            <v>162</v>
          </cell>
          <cell r="H14">
            <v>147.80000000000001</v>
          </cell>
          <cell r="I14">
            <v>14.2</v>
          </cell>
          <cell r="J14">
            <v>20</v>
          </cell>
          <cell r="K14">
            <v>165.1</v>
          </cell>
          <cell r="L14">
            <v>149.6</v>
          </cell>
          <cell r="M14">
            <v>15.5</v>
          </cell>
          <cell r="N14">
            <v>20.399999999999999</v>
          </cell>
          <cell r="O14">
            <v>142.30000000000001</v>
          </cell>
          <cell r="P14">
            <v>136.19999999999999</v>
          </cell>
          <cell r="Q14">
            <v>6.1</v>
          </cell>
        </row>
        <row r="15">
          <cell r="C15" t="str">
            <v>情報通信業</v>
          </cell>
          <cell r="F15">
            <v>19.899999999999999</v>
          </cell>
          <cell r="G15">
            <v>164.6</v>
          </cell>
          <cell r="H15">
            <v>153.1</v>
          </cell>
          <cell r="I15">
            <v>11.5</v>
          </cell>
          <cell r="J15">
            <v>20</v>
          </cell>
          <cell r="K15">
            <v>167.5</v>
          </cell>
          <cell r="L15">
            <v>155.19999999999999</v>
          </cell>
          <cell r="M15">
            <v>12.3</v>
          </cell>
          <cell r="N15">
            <v>19.8</v>
          </cell>
          <cell r="O15">
            <v>157.9</v>
          </cell>
          <cell r="P15">
            <v>148.1</v>
          </cell>
          <cell r="Q15">
            <v>9.8000000000000007</v>
          </cell>
        </row>
        <row r="16">
          <cell r="C16" t="str">
            <v>運輸業，郵便業</v>
          </cell>
          <cell r="F16">
            <v>20.5</v>
          </cell>
          <cell r="G16">
            <v>170.3</v>
          </cell>
          <cell r="H16">
            <v>148.80000000000001</v>
          </cell>
          <cell r="I16">
            <v>21.5</v>
          </cell>
          <cell r="J16">
            <v>20.5</v>
          </cell>
          <cell r="K16">
            <v>173.4</v>
          </cell>
          <cell r="L16">
            <v>149.9</v>
          </cell>
          <cell r="M16">
            <v>23.5</v>
          </cell>
          <cell r="N16">
            <v>20.7</v>
          </cell>
          <cell r="O16">
            <v>144.30000000000001</v>
          </cell>
          <cell r="P16">
            <v>139.6</v>
          </cell>
          <cell r="Q16">
            <v>4.7</v>
          </cell>
        </row>
        <row r="17">
          <cell r="C17" t="str">
            <v>卸売業，小売業</v>
          </cell>
          <cell r="F17">
            <v>18.7</v>
          </cell>
          <cell r="G17">
            <v>130.19999999999999</v>
          </cell>
          <cell r="H17">
            <v>122.7</v>
          </cell>
          <cell r="I17">
            <v>7.5</v>
          </cell>
          <cell r="J17">
            <v>19.8</v>
          </cell>
          <cell r="K17">
            <v>153.1</v>
          </cell>
          <cell r="L17">
            <v>141.19999999999999</v>
          </cell>
          <cell r="M17">
            <v>11.9</v>
          </cell>
          <cell r="N17">
            <v>17.899999999999999</v>
          </cell>
          <cell r="O17">
            <v>114.1</v>
          </cell>
          <cell r="P17">
            <v>109.7</v>
          </cell>
          <cell r="Q17">
            <v>4.4000000000000004</v>
          </cell>
        </row>
        <row r="18">
          <cell r="C18" t="str">
            <v>金融業，保険業</v>
          </cell>
          <cell r="F18">
            <v>20.7</v>
          </cell>
          <cell r="G18">
            <v>149.69999999999999</v>
          </cell>
          <cell r="H18">
            <v>145.19999999999999</v>
          </cell>
          <cell r="I18">
            <v>4.5</v>
          </cell>
          <cell r="J18">
            <v>20.5</v>
          </cell>
          <cell r="K18">
            <v>150.9</v>
          </cell>
          <cell r="L18">
            <v>147.9</v>
          </cell>
          <cell r="M18">
            <v>3</v>
          </cell>
          <cell r="N18">
            <v>20.9</v>
          </cell>
          <cell r="O18">
            <v>148.6</v>
          </cell>
          <cell r="P18">
            <v>142.9</v>
          </cell>
          <cell r="Q18">
            <v>5.7</v>
          </cell>
        </row>
        <row r="19">
          <cell r="C19" t="str">
            <v>不動産業，物品賃貸業</v>
          </cell>
          <cell r="F19">
            <v>20.7</v>
          </cell>
          <cell r="G19">
            <v>159.80000000000001</v>
          </cell>
          <cell r="H19">
            <v>155.1</v>
          </cell>
          <cell r="I19">
            <v>4.7</v>
          </cell>
          <cell r="J19">
            <v>21.3</v>
          </cell>
          <cell r="K19">
            <v>171.4</v>
          </cell>
          <cell r="L19">
            <v>165.9</v>
          </cell>
          <cell r="M19">
            <v>5.5</v>
          </cell>
          <cell r="N19">
            <v>19.600000000000001</v>
          </cell>
          <cell r="O19">
            <v>139.69999999999999</v>
          </cell>
          <cell r="P19">
            <v>136.5</v>
          </cell>
          <cell r="Q19">
            <v>3.2</v>
          </cell>
        </row>
        <row r="20">
          <cell r="C20" t="str">
            <v>学術研究，専門・技術サービス業</v>
          </cell>
          <cell r="F20">
            <v>20.8</v>
          </cell>
          <cell r="G20">
            <v>173.4</v>
          </cell>
          <cell r="H20">
            <v>159.4</v>
          </cell>
          <cell r="I20">
            <v>14</v>
          </cell>
          <cell r="J20">
            <v>20.6</v>
          </cell>
          <cell r="K20">
            <v>174</v>
          </cell>
          <cell r="L20">
            <v>159.19999999999999</v>
          </cell>
          <cell r="M20">
            <v>14.8</v>
          </cell>
          <cell r="N20">
            <v>21.4</v>
          </cell>
          <cell r="O20">
            <v>170.7</v>
          </cell>
          <cell r="P20">
            <v>160</v>
          </cell>
          <cell r="Q20">
            <v>10.7</v>
          </cell>
        </row>
        <row r="21">
          <cell r="C21" t="str">
            <v>宿泊業，飲食サービス業</v>
          </cell>
          <cell r="F21">
            <v>14.9</v>
          </cell>
          <cell r="G21">
            <v>100.5</v>
          </cell>
          <cell r="H21">
            <v>94.5</v>
          </cell>
          <cell r="I21">
            <v>6</v>
          </cell>
          <cell r="J21">
            <v>15.6</v>
          </cell>
          <cell r="K21">
            <v>117.3</v>
          </cell>
          <cell r="L21">
            <v>107.2</v>
          </cell>
          <cell r="M21">
            <v>10.1</v>
          </cell>
          <cell r="N21">
            <v>14.5</v>
          </cell>
          <cell r="O21">
            <v>89.8</v>
          </cell>
          <cell r="P21">
            <v>86.4</v>
          </cell>
          <cell r="Q21">
            <v>3.4</v>
          </cell>
        </row>
        <row r="22">
          <cell r="C22" t="str">
            <v>生活関連サービス業，娯楽業</v>
          </cell>
          <cell r="F22">
            <v>17.600000000000001</v>
          </cell>
          <cell r="G22">
            <v>143.5</v>
          </cell>
          <cell r="H22">
            <v>133.69999999999999</v>
          </cell>
          <cell r="I22">
            <v>9.8000000000000007</v>
          </cell>
          <cell r="J22">
            <v>17.5</v>
          </cell>
          <cell r="K22">
            <v>147.80000000000001</v>
          </cell>
          <cell r="L22">
            <v>135.80000000000001</v>
          </cell>
          <cell r="M22">
            <v>12</v>
          </cell>
          <cell r="N22">
            <v>17.8</v>
          </cell>
          <cell r="O22">
            <v>136.5</v>
          </cell>
          <cell r="P22">
            <v>130.4</v>
          </cell>
          <cell r="Q22">
            <v>6.1</v>
          </cell>
        </row>
        <row r="23">
          <cell r="C23" t="str">
            <v>教育，学習支援業</v>
          </cell>
          <cell r="F23">
            <v>20.2</v>
          </cell>
          <cell r="G23">
            <v>180</v>
          </cell>
          <cell r="H23">
            <v>148.1</v>
          </cell>
          <cell r="I23">
            <v>31.9</v>
          </cell>
          <cell r="J23">
            <v>20.5</v>
          </cell>
          <cell r="K23">
            <v>191.4</v>
          </cell>
          <cell r="L23">
            <v>152.5</v>
          </cell>
          <cell r="M23">
            <v>38.9</v>
          </cell>
          <cell r="N23">
            <v>20</v>
          </cell>
          <cell r="O23">
            <v>169.4</v>
          </cell>
          <cell r="P23">
            <v>143.9</v>
          </cell>
          <cell r="Q23">
            <v>25.5</v>
          </cell>
        </row>
        <row r="24">
          <cell r="C24" t="str">
            <v>医療，福祉</v>
          </cell>
          <cell r="F24">
            <v>19.600000000000001</v>
          </cell>
          <cell r="G24">
            <v>145.5</v>
          </cell>
          <cell r="H24">
            <v>141.6</v>
          </cell>
          <cell r="I24">
            <v>3.9</v>
          </cell>
          <cell r="J24">
            <v>19.899999999999999</v>
          </cell>
          <cell r="K24">
            <v>154.30000000000001</v>
          </cell>
          <cell r="L24">
            <v>148.9</v>
          </cell>
          <cell r="M24">
            <v>5.4</v>
          </cell>
          <cell r="N24">
            <v>19.399999999999999</v>
          </cell>
          <cell r="O24">
            <v>142.30000000000001</v>
          </cell>
          <cell r="P24">
            <v>138.9</v>
          </cell>
          <cell r="Q24">
            <v>3.4</v>
          </cell>
        </row>
        <row r="25">
          <cell r="C25" t="str">
            <v>複合サービス事業</v>
          </cell>
          <cell r="F25">
            <v>19.899999999999999</v>
          </cell>
          <cell r="G25">
            <v>160.30000000000001</v>
          </cell>
          <cell r="H25">
            <v>154.1</v>
          </cell>
          <cell r="I25">
            <v>6.2</v>
          </cell>
          <cell r="J25">
            <v>20.2</v>
          </cell>
          <cell r="K25">
            <v>164.9</v>
          </cell>
          <cell r="L25">
            <v>159.4</v>
          </cell>
          <cell r="M25">
            <v>5.5</v>
          </cell>
          <cell r="N25">
            <v>19.399999999999999</v>
          </cell>
          <cell r="O25">
            <v>152.69999999999999</v>
          </cell>
          <cell r="P25">
            <v>145.5</v>
          </cell>
          <cell r="Q25">
            <v>7.2</v>
          </cell>
        </row>
        <row r="26">
          <cell r="C26" t="str">
            <v>サービス業（他に分類されないもの）</v>
          </cell>
          <cell r="F26">
            <v>19</v>
          </cell>
          <cell r="G26">
            <v>141.19999999999999</v>
          </cell>
          <cell r="H26">
            <v>132.6</v>
          </cell>
          <cell r="I26">
            <v>8.6</v>
          </cell>
          <cell r="J26">
            <v>19.2</v>
          </cell>
          <cell r="K26">
            <v>157.5</v>
          </cell>
          <cell r="L26">
            <v>145</v>
          </cell>
          <cell r="M26">
            <v>12.5</v>
          </cell>
          <cell r="N26">
            <v>18.899999999999999</v>
          </cell>
          <cell r="O26">
            <v>123.9</v>
          </cell>
          <cell r="P26">
            <v>119.4</v>
          </cell>
          <cell r="Q26">
            <v>4.5</v>
          </cell>
        </row>
        <row r="27">
          <cell r="C27" t="str">
            <v>食料品・たばこ</v>
          </cell>
          <cell r="F27">
            <v>20.100000000000001</v>
          </cell>
          <cell r="G27">
            <v>158.9</v>
          </cell>
          <cell r="H27">
            <v>149.1</v>
          </cell>
          <cell r="I27">
            <v>9.8000000000000007</v>
          </cell>
          <cell r="J27">
            <v>20.6</v>
          </cell>
          <cell r="K27">
            <v>172.1</v>
          </cell>
          <cell r="L27">
            <v>158.80000000000001</v>
          </cell>
          <cell r="M27">
            <v>13.3</v>
          </cell>
          <cell r="N27">
            <v>19.600000000000001</v>
          </cell>
          <cell r="O27">
            <v>146.69999999999999</v>
          </cell>
          <cell r="P27">
            <v>140.19999999999999</v>
          </cell>
          <cell r="Q27">
            <v>6.5</v>
          </cell>
        </row>
        <row r="28">
          <cell r="C28" t="str">
            <v>繊維工業</v>
          </cell>
          <cell r="F28">
            <v>20.3</v>
          </cell>
          <cell r="G28">
            <v>167.1</v>
          </cell>
          <cell r="H28">
            <v>153.30000000000001</v>
          </cell>
          <cell r="I28">
            <v>13.8</v>
          </cell>
          <cell r="J28">
            <v>20.5</v>
          </cell>
          <cell r="K28">
            <v>167.3</v>
          </cell>
          <cell r="L28">
            <v>152</v>
          </cell>
          <cell r="M28">
            <v>15.3</v>
          </cell>
          <cell r="N28">
            <v>20.100000000000001</v>
          </cell>
          <cell r="O28">
            <v>166.9</v>
          </cell>
          <cell r="P28">
            <v>154.5</v>
          </cell>
          <cell r="Q28">
            <v>12.4</v>
          </cell>
        </row>
        <row r="29">
          <cell r="C29" t="str">
            <v>木材・木製品</v>
          </cell>
          <cell r="F29">
            <v>20</v>
          </cell>
          <cell r="G29">
            <v>159.80000000000001</v>
          </cell>
          <cell r="H29">
            <v>150</v>
          </cell>
          <cell r="I29">
            <v>9.8000000000000007</v>
          </cell>
          <cell r="J29">
            <v>19.8</v>
          </cell>
          <cell r="K29">
            <v>164.1</v>
          </cell>
          <cell r="L29">
            <v>152.5</v>
          </cell>
          <cell r="M29">
            <v>11.6</v>
          </cell>
          <cell r="N29">
            <v>20.9</v>
          </cell>
          <cell r="O29">
            <v>140.6</v>
          </cell>
          <cell r="P29">
            <v>138.69999999999999</v>
          </cell>
          <cell r="Q29">
            <v>1.9</v>
          </cell>
        </row>
        <row r="30">
          <cell r="C30" t="str">
            <v>家具・装備品</v>
          </cell>
          <cell r="F30" t="str">
            <v>#20.3</v>
          </cell>
          <cell r="G30" t="str">
            <v>#152.3</v>
          </cell>
          <cell r="H30" t="str">
            <v>#152.3</v>
          </cell>
          <cell r="I30" t="str">
            <v>#0</v>
          </cell>
          <cell r="J30" t="str">
            <v>#20.5</v>
          </cell>
          <cell r="K30" t="str">
            <v>#158.6</v>
          </cell>
          <cell r="L30" t="str">
            <v>#158.6</v>
          </cell>
          <cell r="M30" t="str">
            <v>#0</v>
          </cell>
          <cell r="N30" t="str">
            <v>#19.8</v>
          </cell>
          <cell r="O30" t="str">
            <v>#137.7</v>
          </cell>
          <cell r="P30" t="str">
            <v>#137.7</v>
          </cell>
          <cell r="Q30" t="str">
            <v>#0</v>
          </cell>
        </row>
        <row r="31">
          <cell r="C31" t="str">
            <v>パルプ・紙</v>
          </cell>
          <cell r="F31" t="str">
            <v>#22.9</v>
          </cell>
          <cell r="G31" t="str">
            <v>#178.9</v>
          </cell>
          <cell r="H31" t="str">
            <v>#171.9</v>
          </cell>
          <cell r="I31" t="str">
            <v>#7</v>
          </cell>
          <cell r="J31" t="str">
            <v>#23.4</v>
          </cell>
          <cell r="K31" t="str">
            <v>#181</v>
          </cell>
          <cell r="L31" t="str">
            <v>#172.1</v>
          </cell>
          <cell r="M31" t="str">
            <v>#8.9</v>
          </cell>
          <cell r="N31" t="str">
            <v>#21.5</v>
          </cell>
          <cell r="O31" t="str">
            <v>#172.5</v>
          </cell>
          <cell r="P31" t="str">
            <v>#171.4</v>
          </cell>
          <cell r="Q31" t="str">
            <v>#1.1</v>
          </cell>
        </row>
        <row r="32">
          <cell r="C32" t="str">
            <v>印刷・同関連業</v>
          </cell>
          <cell r="F32">
            <v>18.8</v>
          </cell>
          <cell r="G32">
            <v>133.19999999999999</v>
          </cell>
          <cell r="H32">
            <v>124.9</v>
          </cell>
          <cell r="I32">
            <v>8.3000000000000007</v>
          </cell>
          <cell r="J32">
            <v>19.3</v>
          </cell>
          <cell r="K32">
            <v>142.19999999999999</v>
          </cell>
          <cell r="L32">
            <v>131.80000000000001</v>
          </cell>
          <cell r="M32">
            <v>10.4</v>
          </cell>
          <cell r="N32">
            <v>17.399999999999999</v>
          </cell>
          <cell r="O32">
            <v>110.8</v>
          </cell>
          <cell r="P32">
            <v>107.6</v>
          </cell>
          <cell r="Q32">
            <v>3.2</v>
          </cell>
        </row>
        <row r="33">
          <cell r="C33" t="str">
            <v>化学、石油・石炭</v>
          </cell>
          <cell r="F33">
            <v>21</v>
          </cell>
          <cell r="G33">
            <v>170.7</v>
          </cell>
          <cell r="H33">
            <v>153.5</v>
          </cell>
          <cell r="I33">
            <v>17.2</v>
          </cell>
          <cell r="J33">
            <v>20.9</v>
          </cell>
          <cell r="K33">
            <v>171.2</v>
          </cell>
          <cell r="L33">
            <v>153.1</v>
          </cell>
          <cell r="M33">
            <v>18.100000000000001</v>
          </cell>
          <cell r="N33">
            <v>21.3</v>
          </cell>
          <cell r="O33">
            <v>164.8</v>
          </cell>
          <cell r="P33">
            <v>158.80000000000001</v>
          </cell>
          <cell r="Q33">
            <v>6</v>
          </cell>
        </row>
        <row r="34">
          <cell r="C34" t="str">
            <v>プラスチック製品</v>
          </cell>
          <cell r="F34">
            <v>20.6</v>
          </cell>
          <cell r="G34">
            <v>164.5</v>
          </cell>
          <cell r="H34">
            <v>152.19999999999999</v>
          </cell>
          <cell r="I34">
            <v>12.3</v>
          </cell>
          <cell r="J34">
            <v>20.8</v>
          </cell>
          <cell r="K34">
            <v>173.2</v>
          </cell>
          <cell r="L34">
            <v>157.1</v>
          </cell>
          <cell r="M34">
            <v>16.100000000000001</v>
          </cell>
          <cell r="N34">
            <v>20.100000000000001</v>
          </cell>
          <cell r="O34">
            <v>139.1</v>
          </cell>
          <cell r="P34">
            <v>137.9</v>
          </cell>
          <cell r="Q34">
            <v>1.2</v>
          </cell>
        </row>
        <row r="35">
          <cell r="C35" t="str">
            <v>ゴム製品</v>
          </cell>
          <cell r="F35">
            <v>20.8</v>
          </cell>
          <cell r="G35">
            <v>172.5</v>
          </cell>
          <cell r="H35">
            <v>153.6</v>
          </cell>
          <cell r="I35">
            <v>18.899999999999999</v>
          </cell>
          <cell r="J35">
            <v>20.9</v>
          </cell>
          <cell r="K35">
            <v>173.7</v>
          </cell>
          <cell r="L35">
            <v>153.1</v>
          </cell>
          <cell r="M35">
            <v>20.6</v>
          </cell>
          <cell r="N35">
            <v>20.399999999999999</v>
          </cell>
          <cell r="O35">
            <v>164.4</v>
          </cell>
          <cell r="P35">
            <v>156.6</v>
          </cell>
          <cell r="Q35">
            <v>7.8</v>
          </cell>
        </row>
        <row r="36">
          <cell r="C36" t="str">
            <v>窯業・土石製品</v>
          </cell>
          <cell r="F36">
            <v>21.1</v>
          </cell>
          <cell r="G36">
            <v>170.6</v>
          </cell>
          <cell r="H36">
            <v>157.4</v>
          </cell>
          <cell r="I36">
            <v>13.2</v>
          </cell>
          <cell r="J36">
            <v>21.3</v>
          </cell>
          <cell r="K36">
            <v>179.5</v>
          </cell>
          <cell r="L36">
            <v>163.19999999999999</v>
          </cell>
          <cell r="M36">
            <v>16.3</v>
          </cell>
          <cell r="N36">
            <v>20.399999999999999</v>
          </cell>
          <cell r="O36">
            <v>141.1</v>
          </cell>
          <cell r="P36">
            <v>138.19999999999999</v>
          </cell>
          <cell r="Q36">
            <v>2.9</v>
          </cell>
        </row>
        <row r="37">
          <cell r="C37" t="str">
            <v>鉄鋼業</v>
          </cell>
          <cell r="F37" t="str">
            <v>#20.1</v>
          </cell>
          <cell r="G37" t="str">
            <v>#183.5</v>
          </cell>
          <cell r="H37" t="str">
            <v>#158</v>
          </cell>
          <cell r="I37" t="str">
            <v>#25.5</v>
          </cell>
          <cell r="J37" t="str">
            <v>#20.1</v>
          </cell>
          <cell r="K37" t="str">
            <v>#184.1</v>
          </cell>
          <cell r="L37" t="str">
            <v>#158.1</v>
          </cell>
          <cell r="M37" t="str">
            <v>#26</v>
          </cell>
          <cell r="N37" t="str">
            <v>#19.9</v>
          </cell>
          <cell r="O37" t="str">
            <v>#174.7</v>
          </cell>
          <cell r="P37" t="str">
            <v>#157.1</v>
          </cell>
          <cell r="Q37" t="str">
            <v>#17.6</v>
          </cell>
        </row>
        <row r="38">
          <cell r="C38" t="str">
            <v>非鉄金属製造業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</row>
        <row r="39">
          <cell r="C39" t="str">
            <v>金属製品製造業</v>
          </cell>
          <cell r="F39">
            <v>20.3</v>
          </cell>
          <cell r="G39">
            <v>163</v>
          </cell>
          <cell r="H39">
            <v>157.19999999999999</v>
          </cell>
          <cell r="I39">
            <v>5.8</v>
          </cell>
          <cell r="J39">
            <v>20.399999999999999</v>
          </cell>
          <cell r="K39">
            <v>167</v>
          </cell>
          <cell r="L39">
            <v>159.69999999999999</v>
          </cell>
          <cell r="M39">
            <v>7.3</v>
          </cell>
          <cell r="N39">
            <v>20</v>
          </cell>
          <cell r="O39">
            <v>151.9</v>
          </cell>
          <cell r="P39">
            <v>150.1</v>
          </cell>
          <cell r="Q39">
            <v>1.8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19.600000000000001</v>
          </cell>
          <cell r="G42">
            <v>161.9</v>
          </cell>
          <cell r="H42">
            <v>153.5</v>
          </cell>
          <cell r="I42">
            <v>8.4</v>
          </cell>
          <cell r="J42">
            <v>19.7</v>
          </cell>
          <cell r="K42">
            <v>163.80000000000001</v>
          </cell>
          <cell r="L42">
            <v>152.30000000000001</v>
          </cell>
          <cell r="M42">
            <v>11.5</v>
          </cell>
          <cell r="N42">
            <v>19.600000000000001</v>
          </cell>
          <cell r="O42">
            <v>160.1</v>
          </cell>
          <cell r="P42">
            <v>154.6</v>
          </cell>
          <cell r="Q42">
            <v>5.5</v>
          </cell>
        </row>
        <row r="43">
          <cell r="C43" t="str">
            <v>電子・デバイス</v>
          </cell>
          <cell r="F43">
            <v>18.5</v>
          </cell>
          <cell r="G43">
            <v>157</v>
          </cell>
          <cell r="H43">
            <v>144.80000000000001</v>
          </cell>
          <cell r="I43">
            <v>12.2</v>
          </cell>
          <cell r="J43">
            <v>18.600000000000001</v>
          </cell>
          <cell r="K43">
            <v>164.3</v>
          </cell>
          <cell r="L43">
            <v>148.80000000000001</v>
          </cell>
          <cell r="M43">
            <v>15.5</v>
          </cell>
          <cell r="N43">
            <v>18.3</v>
          </cell>
          <cell r="O43">
            <v>143</v>
          </cell>
          <cell r="P43">
            <v>137</v>
          </cell>
          <cell r="Q43">
            <v>6</v>
          </cell>
        </row>
        <row r="44">
          <cell r="C44" t="str">
            <v>電気機械器具</v>
          </cell>
          <cell r="F44">
            <v>20.7</v>
          </cell>
          <cell r="G44">
            <v>167.2</v>
          </cell>
          <cell r="H44">
            <v>160.80000000000001</v>
          </cell>
          <cell r="I44">
            <v>6.4</v>
          </cell>
          <cell r="J44">
            <v>20.9</v>
          </cell>
          <cell r="K44">
            <v>172.8</v>
          </cell>
          <cell r="L44">
            <v>164.3</v>
          </cell>
          <cell r="M44">
            <v>8.5</v>
          </cell>
          <cell r="N44">
            <v>20.2</v>
          </cell>
          <cell r="O44">
            <v>155.80000000000001</v>
          </cell>
          <cell r="P44">
            <v>153.69999999999999</v>
          </cell>
          <cell r="Q44">
            <v>2.1</v>
          </cell>
        </row>
        <row r="45">
          <cell r="C45" t="str">
            <v>情報通信機械器具</v>
          </cell>
          <cell r="F45">
            <v>20.6</v>
          </cell>
          <cell r="G45">
            <v>170.9</v>
          </cell>
          <cell r="H45">
            <v>161.9</v>
          </cell>
          <cell r="I45">
            <v>9</v>
          </cell>
          <cell r="J45">
            <v>20.6</v>
          </cell>
          <cell r="K45">
            <v>173</v>
          </cell>
          <cell r="L45">
            <v>162.69999999999999</v>
          </cell>
          <cell r="M45">
            <v>10.3</v>
          </cell>
          <cell r="N45">
            <v>20.6</v>
          </cell>
          <cell r="O45">
            <v>168.7</v>
          </cell>
          <cell r="P45">
            <v>161.1</v>
          </cell>
          <cell r="Q45">
            <v>7.6</v>
          </cell>
        </row>
        <row r="46">
          <cell r="C46" t="str">
            <v>輸送用機械器具</v>
          </cell>
          <cell r="F46">
            <v>19.600000000000001</v>
          </cell>
          <cell r="G46">
            <v>180.2</v>
          </cell>
          <cell r="H46">
            <v>159.6</v>
          </cell>
          <cell r="I46">
            <v>20.6</v>
          </cell>
          <cell r="J46">
            <v>19.8</v>
          </cell>
          <cell r="K46">
            <v>183.7</v>
          </cell>
          <cell r="L46">
            <v>161.4</v>
          </cell>
          <cell r="M46">
            <v>22.3</v>
          </cell>
          <cell r="N46">
            <v>19.100000000000001</v>
          </cell>
          <cell r="O46">
            <v>165.1</v>
          </cell>
          <cell r="P46">
            <v>151.9</v>
          </cell>
          <cell r="Q46">
            <v>13.2</v>
          </cell>
        </row>
        <row r="47">
          <cell r="C47" t="str">
            <v>その他の製造業</v>
          </cell>
          <cell r="F47">
            <v>21.6</v>
          </cell>
          <cell r="G47">
            <v>181.2</v>
          </cell>
          <cell r="H47">
            <v>165.7</v>
          </cell>
          <cell r="I47">
            <v>15.5</v>
          </cell>
          <cell r="J47">
            <v>22.3</v>
          </cell>
          <cell r="K47">
            <v>191.8</v>
          </cell>
          <cell r="L47">
            <v>172.8</v>
          </cell>
          <cell r="M47">
            <v>19</v>
          </cell>
          <cell r="N47">
            <v>19.3</v>
          </cell>
          <cell r="O47">
            <v>142.6</v>
          </cell>
          <cell r="P47">
            <v>139.9</v>
          </cell>
          <cell r="Q47">
            <v>2.7</v>
          </cell>
        </row>
        <row r="48">
          <cell r="C48" t="str">
            <v>Ｅ一括分１</v>
          </cell>
          <cell r="F48">
            <v>19.5</v>
          </cell>
          <cell r="G48">
            <v>168.7</v>
          </cell>
          <cell r="H48">
            <v>158.19999999999999</v>
          </cell>
          <cell r="I48">
            <v>10.5</v>
          </cell>
          <cell r="J48">
            <v>19.7</v>
          </cell>
          <cell r="K48">
            <v>173.4</v>
          </cell>
          <cell r="L48">
            <v>159.6</v>
          </cell>
          <cell r="M48">
            <v>13.8</v>
          </cell>
          <cell r="N48">
            <v>19</v>
          </cell>
          <cell r="O48">
            <v>161.30000000000001</v>
          </cell>
          <cell r="P48">
            <v>156</v>
          </cell>
          <cell r="Q48">
            <v>5.3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20.8</v>
          </cell>
          <cell r="G51">
            <v>165.6</v>
          </cell>
          <cell r="H51">
            <v>157.9</v>
          </cell>
          <cell r="I51">
            <v>7.7</v>
          </cell>
          <cell r="J51">
            <v>20.8</v>
          </cell>
          <cell r="K51">
            <v>169.5</v>
          </cell>
          <cell r="L51">
            <v>159.80000000000001</v>
          </cell>
          <cell r="M51">
            <v>9.6999999999999993</v>
          </cell>
          <cell r="N51">
            <v>20.8</v>
          </cell>
          <cell r="O51">
            <v>156.9</v>
          </cell>
          <cell r="P51">
            <v>153.6</v>
          </cell>
          <cell r="Q51">
            <v>3.3</v>
          </cell>
        </row>
        <row r="52">
          <cell r="C52" t="str">
            <v>小売業</v>
          </cell>
          <cell r="F52">
            <v>18.100000000000001</v>
          </cell>
          <cell r="G52">
            <v>119.8</v>
          </cell>
          <cell r="H52">
            <v>112.4</v>
          </cell>
          <cell r="I52">
            <v>7.4</v>
          </cell>
          <cell r="J52">
            <v>19.100000000000001</v>
          </cell>
          <cell r="K52">
            <v>142.9</v>
          </cell>
          <cell r="L52">
            <v>129.6</v>
          </cell>
          <cell r="M52">
            <v>13.3</v>
          </cell>
          <cell r="N52">
            <v>17.600000000000001</v>
          </cell>
          <cell r="O52">
            <v>108.4</v>
          </cell>
          <cell r="P52">
            <v>103.9</v>
          </cell>
          <cell r="Q52">
            <v>4.5</v>
          </cell>
        </row>
        <row r="53">
          <cell r="C53" t="str">
            <v>宿泊業</v>
          </cell>
          <cell r="F53">
            <v>16.8</v>
          </cell>
          <cell r="G53">
            <v>130</v>
          </cell>
          <cell r="H53">
            <v>120.2</v>
          </cell>
          <cell r="I53">
            <v>9.8000000000000007</v>
          </cell>
          <cell r="J53">
            <v>17.600000000000001</v>
          </cell>
          <cell r="K53">
            <v>149.80000000000001</v>
          </cell>
          <cell r="L53">
            <v>135.19999999999999</v>
          </cell>
          <cell r="M53">
            <v>14.6</v>
          </cell>
          <cell r="N53">
            <v>16.2</v>
          </cell>
          <cell r="O53">
            <v>112</v>
          </cell>
          <cell r="P53">
            <v>106.7</v>
          </cell>
          <cell r="Q53">
            <v>5.3</v>
          </cell>
        </row>
        <row r="54">
          <cell r="C54" t="str">
            <v>Ｍ一括分</v>
          </cell>
          <cell r="F54">
            <v>13.4</v>
          </cell>
          <cell r="G54">
            <v>75.8</v>
          </cell>
          <cell r="H54">
            <v>72.900000000000006</v>
          </cell>
          <cell r="I54">
            <v>2.9</v>
          </cell>
          <cell r="J54">
            <v>13.2</v>
          </cell>
          <cell r="K54">
            <v>76.5</v>
          </cell>
          <cell r="L54">
            <v>72.099999999999994</v>
          </cell>
          <cell r="M54">
            <v>4.4000000000000004</v>
          </cell>
          <cell r="N54">
            <v>13.5</v>
          </cell>
          <cell r="O54">
            <v>75.400000000000006</v>
          </cell>
          <cell r="P54">
            <v>73.3</v>
          </cell>
          <cell r="Q54">
            <v>2.1</v>
          </cell>
        </row>
        <row r="55">
          <cell r="C55" t="str">
            <v>医療業</v>
          </cell>
          <cell r="F55">
            <v>19.5</v>
          </cell>
          <cell r="G55">
            <v>146.4</v>
          </cell>
          <cell r="H55">
            <v>141.6</v>
          </cell>
          <cell r="I55">
            <v>4.8</v>
          </cell>
          <cell r="J55">
            <v>19.8</v>
          </cell>
          <cell r="K55">
            <v>153.80000000000001</v>
          </cell>
          <cell r="L55">
            <v>146.80000000000001</v>
          </cell>
          <cell r="M55">
            <v>7</v>
          </cell>
          <cell r="N55">
            <v>19.399999999999999</v>
          </cell>
          <cell r="O55">
            <v>144.19999999999999</v>
          </cell>
          <cell r="P55">
            <v>140</v>
          </cell>
          <cell r="Q55">
            <v>4.2</v>
          </cell>
        </row>
        <row r="56">
          <cell r="C56" t="str">
            <v>Ｐ一括分</v>
          </cell>
          <cell r="F56">
            <v>19.600000000000001</v>
          </cell>
          <cell r="G56">
            <v>144.19999999999999</v>
          </cell>
          <cell r="H56">
            <v>141.4</v>
          </cell>
          <cell r="I56">
            <v>2.8</v>
          </cell>
          <cell r="J56">
            <v>20</v>
          </cell>
          <cell r="K56">
            <v>154.9</v>
          </cell>
          <cell r="L56">
            <v>151.30000000000001</v>
          </cell>
          <cell r="M56">
            <v>3.6</v>
          </cell>
          <cell r="N56">
            <v>19.5</v>
          </cell>
          <cell r="O56">
            <v>139.9</v>
          </cell>
          <cell r="P56">
            <v>137.5</v>
          </cell>
          <cell r="Q56">
            <v>2.4</v>
          </cell>
        </row>
        <row r="57">
          <cell r="C57" t="str">
            <v>職業紹介・派遣業</v>
          </cell>
          <cell r="F57">
            <v>19.100000000000001</v>
          </cell>
          <cell r="G57">
            <v>155.5</v>
          </cell>
          <cell r="H57">
            <v>146.30000000000001</v>
          </cell>
          <cell r="I57">
            <v>9.1999999999999993</v>
          </cell>
          <cell r="J57">
            <v>19.7</v>
          </cell>
          <cell r="K57">
            <v>173.1</v>
          </cell>
          <cell r="L57">
            <v>158</v>
          </cell>
          <cell r="M57">
            <v>15.1</v>
          </cell>
          <cell r="N57">
            <v>18.600000000000001</v>
          </cell>
          <cell r="O57">
            <v>141</v>
          </cell>
          <cell r="P57">
            <v>136.69999999999999</v>
          </cell>
          <cell r="Q57">
            <v>4.3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19</v>
          </cell>
          <cell r="G59">
            <v>137.6</v>
          </cell>
          <cell r="H59">
            <v>129.1</v>
          </cell>
          <cell r="I59">
            <v>8.5</v>
          </cell>
          <cell r="J59">
            <v>19.100000000000001</v>
          </cell>
          <cell r="K59">
            <v>154</v>
          </cell>
          <cell r="L59">
            <v>142.1</v>
          </cell>
          <cell r="M59">
            <v>11.9</v>
          </cell>
          <cell r="N59">
            <v>18.899999999999999</v>
          </cell>
          <cell r="O59">
            <v>118.7</v>
          </cell>
          <cell r="P59">
            <v>114.1</v>
          </cell>
          <cell r="Q59">
            <v>4.5999999999999996</v>
          </cell>
        </row>
        <row r="60">
          <cell r="C60" t="str">
            <v>特掲産業１</v>
          </cell>
          <cell r="F60" t="str">
            <v>#15.6</v>
          </cell>
          <cell r="G60" t="str">
            <v>#123</v>
          </cell>
          <cell r="H60" t="str">
            <v>#119</v>
          </cell>
          <cell r="I60" t="str">
            <v>#4</v>
          </cell>
          <cell r="J60" t="str">
            <v>#15.8</v>
          </cell>
          <cell r="K60" t="str">
            <v>#128</v>
          </cell>
          <cell r="L60" t="str">
            <v>#123.4</v>
          </cell>
          <cell r="M60" t="str">
            <v>#4.6</v>
          </cell>
          <cell r="N60" t="str">
            <v>#15</v>
          </cell>
          <cell r="O60" t="str">
            <v>#111.3</v>
          </cell>
          <cell r="P60" t="str">
            <v>#108.8</v>
          </cell>
          <cell r="Q60" t="str">
            <v>#2.5</v>
          </cell>
        </row>
        <row r="61">
          <cell r="C61" t="str">
            <v>特掲産業２</v>
          </cell>
          <cell r="F61" t="str">
            <v>#18.7</v>
          </cell>
          <cell r="G61" t="str">
            <v>#144</v>
          </cell>
          <cell r="H61" t="str">
            <v>#134</v>
          </cell>
          <cell r="I61" t="str">
            <v>#10</v>
          </cell>
          <cell r="J61" t="str">
            <v>#19</v>
          </cell>
          <cell r="K61" t="str">
            <v>#160.4</v>
          </cell>
          <cell r="L61" t="str">
            <v>#145.8</v>
          </cell>
          <cell r="M61" t="str">
            <v>#14.6</v>
          </cell>
          <cell r="N61" t="str">
            <v>#18.2</v>
          </cell>
          <cell r="O61" t="str">
            <v>#120</v>
          </cell>
          <cell r="P61" t="str">
            <v>#116.7</v>
          </cell>
          <cell r="Q61" t="str">
            <v>#3.3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19.3</v>
          </cell>
          <cell r="G80">
            <v>146</v>
          </cell>
          <cell r="H80">
            <v>137.1</v>
          </cell>
          <cell r="I80">
            <v>8.9</v>
          </cell>
          <cell r="J80">
            <v>20</v>
          </cell>
          <cell r="K80">
            <v>161.4</v>
          </cell>
          <cell r="L80">
            <v>148.30000000000001</v>
          </cell>
          <cell r="M80">
            <v>13.1</v>
          </cell>
          <cell r="N80">
            <v>18.7</v>
          </cell>
          <cell r="O80">
            <v>131.19999999999999</v>
          </cell>
          <cell r="P80">
            <v>126.4</v>
          </cell>
          <cell r="Q80">
            <v>4.8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21.6</v>
          </cell>
          <cell r="G82">
            <v>164.2</v>
          </cell>
          <cell r="H82">
            <v>158</v>
          </cell>
          <cell r="I82">
            <v>6.2</v>
          </cell>
          <cell r="J82">
            <v>21.8</v>
          </cell>
          <cell r="K82">
            <v>167.8</v>
          </cell>
          <cell r="L82">
            <v>160.9</v>
          </cell>
          <cell r="M82">
            <v>6.9</v>
          </cell>
          <cell r="N82">
            <v>20.399999999999999</v>
          </cell>
          <cell r="O82">
            <v>145.80000000000001</v>
          </cell>
          <cell r="P82">
            <v>143.1</v>
          </cell>
          <cell r="Q82">
            <v>2.7</v>
          </cell>
        </row>
        <row r="83">
          <cell r="C83" t="str">
            <v>製造業</v>
          </cell>
          <cell r="F83">
            <v>20</v>
          </cell>
          <cell r="G83">
            <v>160.19999999999999</v>
          </cell>
          <cell r="H83">
            <v>149.4</v>
          </cell>
          <cell r="I83">
            <v>10.8</v>
          </cell>
          <cell r="J83">
            <v>20.5</v>
          </cell>
          <cell r="K83">
            <v>171.2</v>
          </cell>
          <cell r="L83">
            <v>156.30000000000001</v>
          </cell>
          <cell r="M83">
            <v>14.9</v>
          </cell>
          <cell r="N83">
            <v>19.3</v>
          </cell>
          <cell r="O83">
            <v>144.80000000000001</v>
          </cell>
          <cell r="P83">
            <v>139.69999999999999</v>
          </cell>
          <cell r="Q83">
            <v>5.0999999999999996</v>
          </cell>
        </row>
        <row r="84">
          <cell r="C84" t="str">
            <v>電気・ガス・熱供給・水道業</v>
          </cell>
          <cell r="F84">
            <v>20.2</v>
          </cell>
          <cell r="G84">
            <v>162</v>
          </cell>
          <cell r="H84">
            <v>149.4</v>
          </cell>
          <cell r="I84">
            <v>12.6</v>
          </cell>
          <cell r="J84">
            <v>20.100000000000001</v>
          </cell>
          <cell r="K84">
            <v>164.3</v>
          </cell>
          <cell r="L84">
            <v>150.6</v>
          </cell>
          <cell r="M84">
            <v>13.7</v>
          </cell>
          <cell r="N84">
            <v>20.5</v>
          </cell>
          <cell r="O84">
            <v>145.80000000000001</v>
          </cell>
          <cell r="P84">
            <v>140.9</v>
          </cell>
          <cell r="Q84">
            <v>4.9000000000000004</v>
          </cell>
        </row>
        <row r="85">
          <cell r="C85" t="str">
            <v>情報通信業</v>
          </cell>
          <cell r="F85">
            <v>20.3</v>
          </cell>
          <cell r="G85">
            <v>165.7</v>
          </cell>
          <cell r="H85">
            <v>155.5</v>
          </cell>
          <cell r="I85">
            <v>10.199999999999999</v>
          </cell>
          <cell r="J85">
            <v>20.399999999999999</v>
          </cell>
          <cell r="K85">
            <v>168.4</v>
          </cell>
          <cell r="L85">
            <v>157.6</v>
          </cell>
          <cell r="M85">
            <v>10.8</v>
          </cell>
          <cell r="N85">
            <v>20</v>
          </cell>
          <cell r="O85">
            <v>159.4</v>
          </cell>
          <cell r="P85">
            <v>150.69999999999999</v>
          </cell>
          <cell r="Q85">
            <v>8.6999999999999993</v>
          </cell>
        </row>
        <row r="86">
          <cell r="C86" t="str">
            <v>運輸業，郵便業</v>
          </cell>
          <cell r="F86">
            <v>21</v>
          </cell>
          <cell r="G86">
            <v>182.1</v>
          </cell>
          <cell r="H86">
            <v>153.5</v>
          </cell>
          <cell r="I86">
            <v>28.6</v>
          </cell>
          <cell r="J86">
            <v>21</v>
          </cell>
          <cell r="K86">
            <v>187</v>
          </cell>
          <cell r="L86">
            <v>154.80000000000001</v>
          </cell>
          <cell r="M86">
            <v>32.200000000000003</v>
          </cell>
          <cell r="N86">
            <v>20.8</v>
          </cell>
          <cell r="O86">
            <v>150.30000000000001</v>
          </cell>
          <cell r="P86">
            <v>145.19999999999999</v>
          </cell>
          <cell r="Q86">
            <v>5.0999999999999996</v>
          </cell>
        </row>
        <row r="87">
          <cell r="C87" t="str">
            <v>卸売業，小売業</v>
          </cell>
          <cell r="F87">
            <v>18.7</v>
          </cell>
          <cell r="G87">
            <v>137.6</v>
          </cell>
          <cell r="H87">
            <v>129.9</v>
          </cell>
          <cell r="I87">
            <v>7.7</v>
          </cell>
          <cell r="J87">
            <v>19.2</v>
          </cell>
          <cell r="K87">
            <v>154.30000000000001</v>
          </cell>
          <cell r="L87">
            <v>143.30000000000001</v>
          </cell>
          <cell r="M87">
            <v>11</v>
          </cell>
          <cell r="N87">
            <v>18.100000000000001</v>
          </cell>
          <cell r="O87">
            <v>117.9</v>
          </cell>
          <cell r="P87">
            <v>114</v>
          </cell>
          <cell r="Q87">
            <v>3.9</v>
          </cell>
        </row>
        <row r="88">
          <cell r="C88" t="str">
            <v>金融業，保険業</v>
          </cell>
          <cell r="F88">
            <v>20</v>
          </cell>
          <cell r="G88">
            <v>149.5</v>
          </cell>
          <cell r="H88">
            <v>144.1</v>
          </cell>
          <cell r="I88">
            <v>5.4</v>
          </cell>
          <cell r="J88">
            <v>20.8</v>
          </cell>
          <cell r="K88">
            <v>164.8</v>
          </cell>
          <cell r="L88">
            <v>156.80000000000001</v>
          </cell>
          <cell r="M88">
            <v>8</v>
          </cell>
          <cell r="N88">
            <v>19.5</v>
          </cell>
          <cell r="O88">
            <v>138.9</v>
          </cell>
          <cell r="P88">
            <v>135.30000000000001</v>
          </cell>
          <cell r="Q88">
            <v>3.6</v>
          </cell>
        </row>
        <row r="89">
          <cell r="C89" t="str">
            <v>不動産業，物品賃貸業</v>
          </cell>
          <cell r="F89">
            <v>17</v>
          </cell>
          <cell r="G89">
            <v>112.5</v>
          </cell>
          <cell r="H89">
            <v>109.4</v>
          </cell>
          <cell r="I89">
            <v>3.1</v>
          </cell>
          <cell r="J89">
            <v>19.600000000000001</v>
          </cell>
          <cell r="K89">
            <v>151.1</v>
          </cell>
          <cell r="L89">
            <v>144.69999999999999</v>
          </cell>
          <cell r="M89">
            <v>6.4</v>
          </cell>
          <cell r="N89">
            <v>15.2</v>
          </cell>
          <cell r="O89">
            <v>84.9</v>
          </cell>
          <cell r="P89">
            <v>84.2</v>
          </cell>
          <cell r="Q89">
            <v>0.7</v>
          </cell>
        </row>
        <row r="90">
          <cell r="C90" t="str">
            <v>学術研究，専門・技術サービス業</v>
          </cell>
          <cell r="F90">
            <v>19.5</v>
          </cell>
          <cell r="G90">
            <v>166.6</v>
          </cell>
          <cell r="H90">
            <v>158.6</v>
          </cell>
          <cell r="I90">
            <v>8</v>
          </cell>
          <cell r="J90">
            <v>19</v>
          </cell>
          <cell r="K90">
            <v>173.2</v>
          </cell>
          <cell r="L90">
            <v>165.4</v>
          </cell>
          <cell r="M90">
            <v>7.8</v>
          </cell>
          <cell r="N90">
            <v>20.6</v>
          </cell>
          <cell r="O90">
            <v>153.69999999999999</v>
          </cell>
          <cell r="P90">
            <v>145.4</v>
          </cell>
          <cell r="Q90">
            <v>8.3000000000000007</v>
          </cell>
        </row>
        <row r="91">
          <cell r="C91" t="str">
            <v>宿泊業，飲食サービス業</v>
          </cell>
          <cell r="F91">
            <v>15.2</v>
          </cell>
          <cell r="G91">
            <v>85.8</v>
          </cell>
          <cell r="H91">
            <v>81.8</v>
          </cell>
          <cell r="I91">
            <v>4</v>
          </cell>
          <cell r="J91">
            <v>16.7</v>
          </cell>
          <cell r="K91">
            <v>101.7</v>
          </cell>
          <cell r="L91">
            <v>93.3</v>
          </cell>
          <cell r="M91">
            <v>8.4</v>
          </cell>
          <cell r="N91">
            <v>14.4</v>
          </cell>
          <cell r="O91">
            <v>76.8</v>
          </cell>
          <cell r="P91">
            <v>75.3</v>
          </cell>
          <cell r="Q91">
            <v>1.5</v>
          </cell>
        </row>
        <row r="92">
          <cell r="C92" t="str">
            <v>生活関連サービス業，娯楽業</v>
          </cell>
          <cell r="F92">
            <v>18.8</v>
          </cell>
          <cell r="G92">
            <v>138.19999999999999</v>
          </cell>
          <cell r="H92">
            <v>132.9</v>
          </cell>
          <cell r="I92">
            <v>5.3</v>
          </cell>
          <cell r="J92">
            <v>19.3</v>
          </cell>
          <cell r="K92">
            <v>156</v>
          </cell>
          <cell r="L92">
            <v>147.9</v>
          </cell>
          <cell r="M92">
            <v>8.1</v>
          </cell>
          <cell r="N92">
            <v>18.3</v>
          </cell>
          <cell r="O92">
            <v>122.5</v>
          </cell>
          <cell r="P92">
            <v>119.7</v>
          </cell>
          <cell r="Q92">
            <v>2.8</v>
          </cell>
        </row>
        <row r="93">
          <cell r="C93" t="str">
            <v>教育，学習支援業</v>
          </cell>
          <cell r="F93">
            <v>20.2</v>
          </cell>
          <cell r="G93">
            <v>167</v>
          </cell>
          <cell r="H93">
            <v>145.4</v>
          </cell>
          <cell r="I93">
            <v>21.6</v>
          </cell>
          <cell r="J93">
            <v>20.399999999999999</v>
          </cell>
          <cell r="K93">
            <v>177.4</v>
          </cell>
          <cell r="L93">
            <v>150.30000000000001</v>
          </cell>
          <cell r="M93">
            <v>27.1</v>
          </cell>
          <cell r="N93">
            <v>20</v>
          </cell>
          <cell r="O93">
            <v>157.30000000000001</v>
          </cell>
          <cell r="P93">
            <v>140.80000000000001</v>
          </cell>
          <cell r="Q93">
            <v>16.5</v>
          </cell>
        </row>
        <row r="94">
          <cell r="C94" t="str">
            <v>医療，福祉</v>
          </cell>
          <cell r="F94">
            <v>19.399999999999999</v>
          </cell>
          <cell r="G94">
            <v>142.69999999999999</v>
          </cell>
          <cell r="H94">
            <v>138.80000000000001</v>
          </cell>
          <cell r="I94">
            <v>3.9</v>
          </cell>
          <cell r="J94">
            <v>19.899999999999999</v>
          </cell>
          <cell r="K94">
            <v>151</v>
          </cell>
          <cell r="L94">
            <v>146.6</v>
          </cell>
          <cell r="M94">
            <v>4.4000000000000004</v>
          </cell>
          <cell r="N94">
            <v>19.3</v>
          </cell>
          <cell r="O94">
            <v>140.19999999999999</v>
          </cell>
          <cell r="P94">
            <v>136.4</v>
          </cell>
          <cell r="Q94">
            <v>3.8</v>
          </cell>
        </row>
        <row r="95">
          <cell r="C95" t="str">
            <v>複合サービス事業</v>
          </cell>
          <cell r="F95">
            <v>19.8</v>
          </cell>
          <cell r="G95">
            <v>158</v>
          </cell>
          <cell r="H95">
            <v>153.4</v>
          </cell>
          <cell r="I95">
            <v>4.5999999999999996</v>
          </cell>
          <cell r="J95">
            <v>19.7</v>
          </cell>
          <cell r="K95">
            <v>160.30000000000001</v>
          </cell>
          <cell r="L95">
            <v>156.1</v>
          </cell>
          <cell r="M95">
            <v>4.2</v>
          </cell>
          <cell r="N95">
            <v>19.899999999999999</v>
          </cell>
          <cell r="O95">
            <v>154.19999999999999</v>
          </cell>
          <cell r="P95">
            <v>148.80000000000001</v>
          </cell>
          <cell r="Q95">
            <v>5.4</v>
          </cell>
        </row>
        <row r="96">
          <cell r="C96" t="str">
            <v>サービス業（他に分類されないもの）</v>
          </cell>
          <cell r="F96">
            <v>19.399999999999999</v>
          </cell>
          <cell r="G96">
            <v>145.30000000000001</v>
          </cell>
          <cell r="H96">
            <v>137.19999999999999</v>
          </cell>
          <cell r="I96">
            <v>8.1</v>
          </cell>
          <cell r="J96">
            <v>19.899999999999999</v>
          </cell>
          <cell r="K96">
            <v>161.80000000000001</v>
          </cell>
          <cell r="L96">
            <v>150</v>
          </cell>
          <cell r="M96">
            <v>11.8</v>
          </cell>
          <cell r="N96">
            <v>18.8</v>
          </cell>
          <cell r="O96">
            <v>128.80000000000001</v>
          </cell>
          <cell r="P96">
            <v>124.5</v>
          </cell>
          <cell r="Q96">
            <v>4.3</v>
          </cell>
        </row>
        <row r="97">
          <cell r="C97" t="str">
            <v>食料品・たばこ</v>
          </cell>
          <cell r="F97">
            <v>19.100000000000001</v>
          </cell>
          <cell r="G97">
            <v>147</v>
          </cell>
          <cell r="H97">
            <v>139.4</v>
          </cell>
          <cell r="I97">
            <v>7.6</v>
          </cell>
          <cell r="J97">
            <v>20</v>
          </cell>
          <cell r="K97">
            <v>166.6</v>
          </cell>
          <cell r="L97">
            <v>153.9</v>
          </cell>
          <cell r="M97">
            <v>12.7</v>
          </cell>
          <cell r="N97">
            <v>18.5</v>
          </cell>
          <cell r="O97">
            <v>133.5</v>
          </cell>
          <cell r="P97">
            <v>129.4</v>
          </cell>
          <cell r="Q97">
            <v>4.0999999999999996</v>
          </cell>
        </row>
        <row r="98">
          <cell r="C98" t="str">
            <v>繊維工業</v>
          </cell>
          <cell r="F98">
            <v>20.399999999999999</v>
          </cell>
          <cell r="G98">
            <v>165.6</v>
          </cell>
          <cell r="H98">
            <v>152.9</v>
          </cell>
          <cell r="I98">
            <v>12.7</v>
          </cell>
          <cell r="J98">
            <v>20.399999999999999</v>
          </cell>
          <cell r="K98">
            <v>165.8</v>
          </cell>
          <cell r="L98">
            <v>150.80000000000001</v>
          </cell>
          <cell r="M98">
            <v>15</v>
          </cell>
          <cell r="N98">
            <v>20.399999999999999</v>
          </cell>
          <cell r="O98">
            <v>165.5</v>
          </cell>
          <cell r="P98">
            <v>154.5</v>
          </cell>
          <cell r="Q98">
            <v>11</v>
          </cell>
        </row>
        <row r="99">
          <cell r="C99" t="str">
            <v>木材・木製品</v>
          </cell>
          <cell r="F99">
            <v>20.5</v>
          </cell>
          <cell r="G99">
            <v>164.5</v>
          </cell>
          <cell r="H99">
            <v>153.5</v>
          </cell>
          <cell r="I99">
            <v>11</v>
          </cell>
          <cell r="J99">
            <v>20.5</v>
          </cell>
          <cell r="K99">
            <v>169</v>
          </cell>
          <cell r="L99">
            <v>154.9</v>
          </cell>
          <cell r="M99">
            <v>14.1</v>
          </cell>
          <cell r="N99">
            <v>20.5</v>
          </cell>
          <cell r="O99">
            <v>154.69999999999999</v>
          </cell>
          <cell r="P99">
            <v>150.30000000000001</v>
          </cell>
          <cell r="Q99">
            <v>4.4000000000000004</v>
          </cell>
        </row>
        <row r="100">
          <cell r="C100" t="str">
            <v>家具・装備品</v>
          </cell>
          <cell r="F100" t="str">
            <v>#20.3</v>
          </cell>
          <cell r="G100" t="str">
            <v>#152.3</v>
          </cell>
          <cell r="H100" t="str">
            <v>#152.3</v>
          </cell>
          <cell r="I100" t="str">
            <v>#0</v>
          </cell>
          <cell r="J100" t="str">
            <v>#20.5</v>
          </cell>
          <cell r="K100" t="str">
            <v>#158.6</v>
          </cell>
          <cell r="L100" t="str">
            <v>#158.6</v>
          </cell>
          <cell r="M100" t="str">
            <v>#0</v>
          </cell>
          <cell r="N100" t="str">
            <v>#19.8</v>
          </cell>
          <cell r="O100" t="str">
            <v>#137.7</v>
          </cell>
          <cell r="P100" t="str">
            <v>#137.7</v>
          </cell>
          <cell r="Q100" t="str">
            <v>#0</v>
          </cell>
        </row>
        <row r="101">
          <cell r="C101" t="str">
            <v>パルプ・紙</v>
          </cell>
          <cell r="F101">
            <v>22.5</v>
          </cell>
          <cell r="G101">
            <v>172.6</v>
          </cell>
          <cell r="H101">
            <v>166.2</v>
          </cell>
          <cell r="I101">
            <v>6.4</v>
          </cell>
          <cell r="J101">
            <v>22.8</v>
          </cell>
          <cell r="K101">
            <v>174.3</v>
          </cell>
          <cell r="L101">
            <v>166.3</v>
          </cell>
          <cell r="M101">
            <v>8</v>
          </cell>
          <cell r="N101">
            <v>21.5</v>
          </cell>
          <cell r="O101">
            <v>166.9</v>
          </cell>
          <cell r="P101">
            <v>165.8</v>
          </cell>
          <cell r="Q101">
            <v>1.1000000000000001</v>
          </cell>
        </row>
        <row r="102">
          <cell r="C102" t="str">
            <v>印刷・同関連業</v>
          </cell>
          <cell r="F102">
            <v>20.8</v>
          </cell>
          <cell r="G102">
            <v>156.9</v>
          </cell>
          <cell r="H102">
            <v>151.19999999999999</v>
          </cell>
          <cell r="I102">
            <v>5.7</v>
          </cell>
          <cell r="J102">
            <v>21.1</v>
          </cell>
          <cell r="K102">
            <v>163.6</v>
          </cell>
          <cell r="L102">
            <v>156.69999999999999</v>
          </cell>
          <cell r="M102">
            <v>6.9</v>
          </cell>
          <cell r="N102">
            <v>20.3</v>
          </cell>
          <cell r="O102">
            <v>141.9</v>
          </cell>
          <cell r="P102">
            <v>138.9</v>
          </cell>
          <cell r="Q102">
            <v>3</v>
          </cell>
        </row>
        <row r="103">
          <cell r="C103" t="str">
            <v>化学、石油・石炭</v>
          </cell>
          <cell r="F103">
            <v>21</v>
          </cell>
          <cell r="G103">
            <v>170.7</v>
          </cell>
          <cell r="H103">
            <v>153.5</v>
          </cell>
          <cell r="I103">
            <v>17.2</v>
          </cell>
          <cell r="J103">
            <v>20.9</v>
          </cell>
          <cell r="K103">
            <v>171.2</v>
          </cell>
          <cell r="L103">
            <v>153.1</v>
          </cell>
          <cell r="M103">
            <v>18.100000000000001</v>
          </cell>
          <cell r="N103">
            <v>21.3</v>
          </cell>
          <cell r="O103">
            <v>164.8</v>
          </cell>
          <cell r="P103">
            <v>158.80000000000001</v>
          </cell>
          <cell r="Q103">
            <v>6</v>
          </cell>
        </row>
        <row r="104">
          <cell r="C104" t="str">
            <v>プラスチック製品</v>
          </cell>
          <cell r="F104">
            <v>20.6</v>
          </cell>
          <cell r="G104">
            <v>164.5</v>
          </cell>
          <cell r="H104">
            <v>152.19999999999999</v>
          </cell>
          <cell r="I104">
            <v>12.3</v>
          </cell>
          <cell r="J104">
            <v>20.8</v>
          </cell>
          <cell r="K104">
            <v>173.2</v>
          </cell>
          <cell r="L104">
            <v>157.1</v>
          </cell>
          <cell r="M104">
            <v>16.100000000000001</v>
          </cell>
          <cell r="N104">
            <v>20.100000000000001</v>
          </cell>
          <cell r="O104">
            <v>139.1</v>
          </cell>
          <cell r="P104">
            <v>137.9</v>
          </cell>
          <cell r="Q104">
            <v>1.2</v>
          </cell>
        </row>
        <row r="105">
          <cell r="C105" t="str">
            <v>ゴム製品</v>
          </cell>
          <cell r="F105">
            <v>20.8</v>
          </cell>
          <cell r="G105">
            <v>172.5</v>
          </cell>
          <cell r="H105">
            <v>153.6</v>
          </cell>
          <cell r="I105">
            <v>18.899999999999999</v>
          </cell>
          <cell r="J105">
            <v>20.9</v>
          </cell>
          <cell r="K105">
            <v>173.7</v>
          </cell>
          <cell r="L105">
            <v>153.1</v>
          </cell>
          <cell r="M105">
            <v>20.6</v>
          </cell>
          <cell r="N105">
            <v>20.399999999999999</v>
          </cell>
          <cell r="O105">
            <v>164.4</v>
          </cell>
          <cell r="P105">
            <v>156.6</v>
          </cell>
          <cell r="Q105">
            <v>7.8</v>
          </cell>
        </row>
        <row r="106">
          <cell r="C106" t="str">
            <v>窯業・土石製品</v>
          </cell>
          <cell r="F106">
            <v>21</v>
          </cell>
          <cell r="G106">
            <v>175.2</v>
          </cell>
          <cell r="H106">
            <v>165.4</v>
          </cell>
          <cell r="I106">
            <v>9.8000000000000007</v>
          </cell>
          <cell r="J106">
            <v>20.9</v>
          </cell>
          <cell r="K106">
            <v>177.8</v>
          </cell>
          <cell r="L106">
            <v>165.4</v>
          </cell>
          <cell r="M106">
            <v>12.4</v>
          </cell>
          <cell r="N106">
            <v>21.4</v>
          </cell>
          <cell r="O106">
            <v>166.4</v>
          </cell>
          <cell r="P106">
            <v>165.5</v>
          </cell>
          <cell r="Q106">
            <v>0.9</v>
          </cell>
        </row>
        <row r="107">
          <cell r="C107" t="str">
            <v>鉄鋼業</v>
          </cell>
          <cell r="F107">
            <v>20.9</v>
          </cell>
          <cell r="G107">
            <v>182</v>
          </cell>
          <cell r="H107">
            <v>162.1</v>
          </cell>
          <cell r="I107">
            <v>19.899999999999999</v>
          </cell>
          <cell r="J107">
            <v>20.3</v>
          </cell>
          <cell r="K107">
            <v>183.4</v>
          </cell>
          <cell r="L107">
            <v>160.4</v>
          </cell>
          <cell r="M107">
            <v>23</v>
          </cell>
          <cell r="N107">
            <v>23.3</v>
          </cell>
          <cell r="O107">
            <v>175.7</v>
          </cell>
          <cell r="P107">
            <v>169</v>
          </cell>
          <cell r="Q107">
            <v>6.7</v>
          </cell>
        </row>
        <row r="108">
          <cell r="C108" t="str">
            <v>非鉄金属製造業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  <cell r="Q108" t="str">
            <v>-</v>
          </cell>
        </row>
        <row r="109">
          <cell r="C109" t="str">
            <v>金属製品製造業</v>
          </cell>
          <cell r="F109">
            <v>20.9</v>
          </cell>
          <cell r="G109">
            <v>162.69999999999999</v>
          </cell>
          <cell r="H109">
            <v>155.4</v>
          </cell>
          <cell r="I109">
            <v>7.3</v>
          </cell>
          <cell r="J109">
            <v>20.7</v>
          </cell>
          <cell r="K109">
            <v>169.9</v>
          </cell>
          <cell r="L109">
            <v>160.5</v>
          </cell>
          <cell r="M109">
            <v>9.4</v>
          </cell>
          <cell r="N109">
            <v>21.2</v>
          </cell>
          <cell r="O109">
            <v>151.4</v>
          </cell>
          <cell r="P109">
            <v>147.4</v>
          </cell>
          <cell r="Q109">
            <v>4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19.600000000000001</v>
          </cell>
          <cell r="G112">
            <v>161.9</v>
          </cell>
          <cell r="H112">
            <v>153.5</v>
          </cell>
          <cell r="I112">
            <v>8.4</v>
          </cell>
          <cell r="J112">
            <v>19.7</v>
          </cell>
          <cell r="K112">
            <v>163.80000000000001</v>
          </cell>
          <cell r="L112">
            <v>152.30000000000001</v>
          </cell>
          <cell r="M112">
            <v>11.5</v>
          </cell>
          <cell r="N112">
            <v>19.600000000000001</v>
          </cell>
          <cell r="O112">
            <v>160.1</v>
          </cell>
          <cell r="P112">
            <v>154.6</v>
          </cell>
          <cell r="Q112">
            <v>5.5</v>
          </cell>
        </row>
        <row r="113">
          <cell r="C113" t="str">
            <v>電子・デバイス</v>
          </cell>
          <cell r="F113">
            <v>18.5</v>
          </cell>
          <cell r="G113">
            <v>157</v>
          </cell>
          <cell r="H113">
            <v>144.80000000000001</v>
          </cell>
          <cell r="I113">
            <v>12.2</v>
          </cell>
          <cell r="J113">
            <v>18.600000000000001</v>
          </cell>
          <cell r="K113">
            <v>164.3</v>
          </cell>
          <cell r="L113">
            <v>148.80000000000001</v>
          </cell>
          <cell r="M113">
            <v>15.5</v>
          </cell>
          <cell r="N113">
            <v>18.3</v>
          </cell>
          <cell r="O113">
            <v>143</v>
          </cell>
          <cell r="P113">
            <v>137</v>
          </cell>
          <cell r="Q113">
            <v>6</v>
          </cell>
        </row>
        <row r="114">
          <cell r="C114" t="str">
            <v>電気機械器具</v>
          </cell>
          <cell r="F114">
            <v>20.7</v>
          </cell>
          <cell r="G114">
            <v>167.2</v>
          </cell>
          <cell r="H114">
            <v>160.80000000000001</v>
          </cell>
          <cell r="I114">
            <v>6.4</v>
          </cell>
          <cell r="J114">
            <v>20.9</v>
          </cell>
          <cell r="K114">
            <v>172.8</v>
          </cell>
          <cell r="L114">
            <v>164.3</v>
          </cell>
          <cell r="M114">
            <v>8.5</v>
          </cell>
          <cell r="N114">
            <v>20.2</v>
          </cell>
          <cell r="O114">
            <v>155.80000000000001</v>
          </cell>
          <cell r="P114">
            <v>153.69999999999999</v>
          </cell>
          <cell r="Q114">
            <v>2.1</v>
          </cell>
        </row>
        <row r="115">
          <cell r="C115" t="str">
            <v>情報通信機械器具</v>
          </cell>
          <cell r="F115">
            <v>20.6</v>
          </cell>
          <cell r="G115">
            <v>170.9</v>
          </cell>
          <cell r="H115">
            <v>161.9</v>
          </cell>
          <cell r="I115">
            <v>9</v>
          </cell>
          <cell r="J115">
            <v>20.6</v>
          </cell>
          <cell r="K115">
            <v>173</v>
          </cell>
          <cell r="L115">
            <v>162.69999999999999</v>
          </cell>
          <cell r="M115">
            <v>10.3</v>
          </cell>
          <cell r="N115">
            <v>20.6</v>
          </cell>
          <cell r="O115">
            <v>168.7</v>
          </cell>
          <cell r="P115">
            <v>161.1</v>
          </cell>
          <cell r="Q115">
            <v>7.6</v>
          </cell>
        </row>
        <row r="116">
          <cell r="C116" t="str">
            <v>輸送用機械器具</v>
          </cell>
          <cell r="F116">
            <v>19.600000000000001</v>
          </cell>
          <cell r="G116">
            <v>180.2</v>
          </cell>
          <cell r="H116">
            <v>159.6</v>
          </cell>
          <cell r="I116">
            <v>20.6</v>
          </cell>
          <cell r="J116">
            <v>19.8</v>
          </cell>
          <cell r="K116">
            <v>183.7</v>
          </cell>
          <cell r="L116">
            <v>161.4</v>
          </cell>
          <cell r="M116">
            <v>22.3</v>
          </cell>
          <cell r="N116">
            <v>19.100000000000001</v>
          </cell>
          <cell r="O116">
            <v>165.1</v>
          </cell>
          <cell r="P116">
            <v>151.9</v>
          </cell>
          <cell r="Q116">
            <v>13.2</v>
          </cell>
        </row>
        <row r="117">
          <cell r="C117" t="str">
            <v>その他の製造業</v>
          </cell>
          <cell r="F117">
            <v>21.6</v>
          </cell>
          <cell r="G117">
            <v>181.2</v>
          </cell>
          <cell r="H117">
            <v>165.7</v>
          </cell>
          <cell r="I117">
            <v>15.5</v>
          </cell>
          <cell r="J117">
            <v>22.3</v>
          </cell>
          <cell r="K117">
            <v>191.8</v>
          </cell>
          <cell r="L117">
            <v>172.8</v>
          </cell>
          <cell r="M117">
            <v>19</v>
          </cell>
          <cell r="N117">
            <v>19.3</v>
          </cell>
          <cell r="O117">
            <v>142.6</v>
          </cell>
          <cell r="P117">
            <v>139.9</v>
          </cell>
          <cell r="Q117">
            <v>2.7</v>
          </cell>
        </row>
        <row r="118">
          <cell r="C118" t="str">
            <v>Ｅ一括分１</v>
          </cell>
          <cell r="F118">
            <v>21.1</v>
          </cell>
          <cell r="G118">
            <v>177.5</v>
          </cell>
          <cell r="H118">
            <v>162.5</v>
          </cell>
          <cell r="I118">
            <v>15</v>
          </cell>
          <cell r="J118">
            <v>22</v>
          </cell>
          <cell r="K118">
            <v>185.9</v>
          </cell>
          <cell r="L118">
            <v>165.6</v>
          </cell>
          <cell r="M118">
            <v>20.3</v>
          </cell>
          <cell r="N118">
            <v>19.3</v>
          </cell>
          <cell r="O118">
            <v>160.5</v>
          </cell>
          <cell r="P118">
            <v>156.1</v>
          </cell>
          <cell r="Q118">
            <v>4.4000000000000004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21.1</v>
          </cell>
          <cell r="G121">
            <v>170.9</v>
          </cell>
          <cell r="H121">
            <v>162.1</v>
          </cell>
          <cell r="I121">
            <v>8.8000000000000007</v>
          </cell>
          <cell r="J121">
            <v>21</v>
          </cell>
          <cell r="K121">
            <v>175.7</v>
          </cell>
          <cell r="L121">
            <v>166.4</v>
          </cell>
          <cell r="M121">
            <v>9.3000000000000007</v>
          </cell>
          <cell r="N121">
            <v>21.4</v>
          </cell>
          <cell r="O121">
            <v>150.80000000000001</v>
          </cell>
          <cell r="P121">
            <v>144.19999999999999</v>
          </cell>
          <cell r="Q121">
            <v>6.6</v>
          </cell>
        </row>
        <row r="122">
          <cell r="C122" t="str">
            <v>小売業</v>
          </cell>
          <cell r="F122">
            <v>17.899999999999999</v>
          </cell>
          <cell r="G122">
            <v>126.9</v>
          </cell>
          <cell r="H122">
            <v>119.5</v>
          </cell>
          <cell r="I122">
            <v>7.4</v>
          </cell>
          <cell r="J122">
            <v>18.100000000000001</v>
          </cell>
          <cell r="K122">
            <v>142.1</v>
          </cell>
          <cell r="L122">
            <v>130.1</v>
          </cell>
          <cell r="M122">
            <v>12</v>
          </cell>
          <cell r="N122">
            <v>17.7</v>
          </cell>
          <cell r="O122">
            <v>114</v>
          </cell>
          <cell r="P122">
            <v>110.5</v>
          </cell>
          <cell r="Q122">
            <v>3.5</v>
          </cell>
        </row>
        <row r="123">
          <cell r="C123" t="str">
            <v>宿泊業</v>
          </cell>
          <cell r="F123">
            <v>17</v>
          </cell>
          <cell r="G123">
            <v>123.1</v>
          </cell>
          <cell r="H123">
            <v>115.5</v>
          </cell>
          <cell r="I123">
            <v>7.6</v>
          </cell>
          <cell r="J123">
            <v>17.899999999999999</v>
          </cell>
          <cell r="K123">
            <v>150.30000000000001</v>
          </cell>
          <cell r="L123">
            <v>136.4</v>
          </cell>
          <cell r="M123">
            <v>13.9</v>
          </cell>
          <cell r="N123">
            <v>16.399999999999999</v>
          </cell>
          <cell r="O123">
            <v>105.7</v>
          </cell>
          <cell r="P123">
            <v>102.1</v>
          </cell>
          <cell r="Q123">
            <v>3.6</v>
          </cell>
        </row>
        <row r="124">
          <cell r="C124" t="str">
            <v>Ｍ一括分</v>
          </cell>
          <cell r="F124">
            <v>14.8</v>
          </cell>
          <cell r="G124">
            <v>76.900000000000006</v>
          </cell>
          <cell r="H124">
            <v>73.8</v>
          </cell>
          <cell r="I124">
            <v>3.1</v>
          </cell>
          <cell r="J124">
            <v>16.3</v>
          </cell>
          <cell r="K124">
            <v>88.9</v>
          </cell>
          <cell r="L124">
            <v>82</v>
          </cell>
          <cell r="M124">
            <v>6.9</v>
          </cell>
          <cell r="N124">
            <v>13.9</v>
          </cell>
          <cell r="O124">
            <v>70.2</v>
          </cell>
          <cell r="P124">
            <v>69.2</v>
          </cell>
          <cell r="Q124">
            <v>1</v>
          </cell>
        </row>
        <row r="125">
          <cell r="C125" t="str">
            <v>医療業</v>
          </cell>
          <cell r="F125">
            <v>19.899999999999999</v>
          </cell>
          <cell r="G125">
            <v>146.1</v>
          </cell>
          <cell r="H125">
            <v>141</v>
          </cell>
          <cell r="I125">
            <v>5.0999999999999996</v>
          </cell>
          <cell r="J125">
            <v>20.399999999999999</v>
          </cell>
          <cell r="K125">
            <v>154.69999999999999</v>
          </cell>
          <cell r="L125">
            <v>147.69999999999999</v>
          </cell>
          <cell r="M125">
            <v>7</v>
          </cell>
          <cell r="N125">
            <v>19.8</v>
          </cell>
          <cell r="O125">
            <v>143.9</v>
          </cell>
          <cell r="P125">
            <v>139.30000000000001</v>
          </cell>
          <cell r="Q125">
            <v>4.5999999999999996</v>
          </cell>
        </row>
        <row r="126">
          <cell r="C126" t="str">
            <v>Ｐ一括分</v>
          </cell>
          <cell r="F126">
            <v>19</v>
          </cell>
          <cell r="G126">
            <v>139.80000000000001</v>
          </cell>
          <cell r="H126">
            <v>136.9</v>
          </cell>
          <cell r="I126">
            <v>2.9</v>
          </cell>
          <cell r="J126">
            <v>19.600000000000001</v>
          </cell>
          <cell r="K126">
            <v>148.6</v>
          </cell>
          <cell r="L126">
            <v>145.9</v>
          </cell>
          <cell r="M126">
            <v>2.7</v>
          </cell>
          <cell r="N126">
            <v>18.8</v>
          </cell>
          <cell r="O126">
            <v>136.69999999999999</v>
          </cell>
          <cell r="P126">
            <v>133.69999999999999</v>
          </cell>
          <cell r="Q126">
            <v>3</v>
          </cell>
        </row>
        <row r="127">
          <cell r="C127" t="str">
            <v>職業紹介・派遣業</v>
          </cell>
          <cell r="F127">
            <v>19.3</v>
          </cell>
          <cell r="G127">
            <v>156.4</v>
          </cell>
          <cell r="H127">
            <v>147.30000000000001</v>
          </cell>
          <cell r="I127">
            <v>9.1</v>
          </cell>
          <cell r="J127">
            <v>19.899999999999999</v>
          </cell>
          <cell r="K127">
            <v>172.3</v>
          </cell>
          <cell r="L127">
            <v>157.80000000000001</v>
          </cell>
          <cell r="M127">
            <v>14.5</v>
          </cell>
          <cell r="N127">
            <v>18.8</v>
          </cell>
          <cell r="O127">
            <v>142.69999999999999</v>
          </cell>
          <cell r="P127">
            <v>138.19999999999999</v>
          </cell>
          <cell r="Q127">
            <v>4.5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19.399999999999999</v>
          </cell>
          <cell r="G129">
            <v>143.19999999999999</v>
          </cell>
          <cell r="H129">
            <v>135.30000000000001</v>
          </cell>
          <cell r="I129">
            <v>7.9</v>
          </cell>
          <cell r="J129">
            <v>19.899999999999999</v>
          </cell>
          <cell r="K129">
            <v>160.1</v>
          </cell>
          <cell r="L129">
            <v>148.69999999999999</v>
          </cell>
          <cell r="M129">
            <v>11.4</v>
          </cell>
          <cell r="N129">
            <v>18.8</v>
          </cell>
          <cell r="O129">
            <v>125.9</v>
          </cell>
          <cell r="P129">
            <v>121.6</v>
          </cell>
          <cell r="Q129">
            <v>4.3</v>
          </cell>
        </row>
        <row r="130">
          <cell r="C130" t="str">
            <v>特掲産業１</v>
          </cell>
          <cell r="F130">
            <v>15.7</v>
          </cell>
          <cell r="G130">
            <v>117</v>
          </cell>
          <cell r="H130">
            <v>112.8</v>
          </cell>
          <cell r="I130">
            <v>4.2</v>
          </cell>
          <cell r="J130">
            <v>17.5</v>
          </cell>
          <cell r="K130">
            <v>138.6</v>
          </cell>
          <cell r="L130">
            <v>132.1</v>
          </cell>
          <cell r="M130">
            <v>6.5</v>
          </cell>
          <cell r="N130">
            <v>14.3</v>
          </cell>
          <cell r="O130">
            <v>99.8</v>
          </cell>
          <cell r="P130">
            <v>97.5</v>
          </cell>
          <cell r="Q130">
            <v>2.2999999999999998</v>
          </cell>
        </row>
        <row r="131">
          <cell r="C131" t="str">
            <v>特掲産業２</v>
          </cell>
          <cell r="F131">
            <v>20.7</v>
          </cell>
          <cell r="G131">
            <v>164.7</v>
          </cell>
          <cell r="H131">
            <v>154.5</v>
          </cell>
          <cell r="I131">
            <v>10.199999999999999</v>
          </cell>
          <cell r="J131">
            <v>20</v>
          </cell>
          <cell r="K131">
            <v>165.2</v>
          </cell>
          <cell r="L131">
            <v>151.19999999999999</v>
          </cell>
          <cell r="M131">
            <v>14</v>
          </cell>
          <cell r="N131">
            <v>22.3</v>
          </cell>
          <cell r="O131">
            <v>163.4</v>
          </cell>
          <cell r="P131">
            <v>161.9</v>
          </cell>
          <cell r="Q131">
            <v>1.5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1.8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>
        <row r="9">
          <cell r="E9">
            <v>356629</v>
          </cell>
        </row>
      </sheetData>
      <sheetData sheetId="17">
        <row r="9">
          <cell r="E9">
            <v>19.3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7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56539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18.7</v>
          </cell>
          <cell r="G10">
            <v>146</v>
          </cell>
          <cell r="H10">
            <v>135.1</v>
          </cell>
          <cell r="I10">
            <v>10.9</v>
          </cell>
          <cell r="J10">
            <v>19.3</v>
          </cell>
          <cell r="K10">
            <v>159.9</v>
          </cell>
          <cell r="L10">
            <v>144.4</v>
          </cell>
          <cell r="M10">
            <v>15.5</v>
          </cell>
          <cell r="N10">
            <v>18.2</v>
          </cell>
          <cell r="O10">
            <v>132.4</v>
          </cell>
          <cell r="P10">
            <v>126</v>
          </cell>
          <cell r="Q10">
            <v>6.4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21.3</v>
          </cell>
          <cell r="G12">
            <v>169.1</v>
          </cell>
          <cell r="H12">
            <v>159.69999999999999</v>
          </cell>
          <cell r="I12">
            <v>9.4</v>
          </cell>
          <cell r="J12">
            <v>21.4</v>
          </cell>
          <cell r="K12">
            <v>170.5</v>
          </cell>
          <cell r="L12">
            <v>160.19999999999999</v>
          </cell>
          <cell r="M12">
            <v>10.3</v>
          </cell>
          <cell r="N12">
            <v>20.6</v>
          </cell>
          <cell r="O12">
            <v>162.80000000000001</v>
          </cell>
          <cell r="P12">
            <v>157.30000000000001</v>
          </cell>
          <cell r="Q12">
            <v>5.5</v>
          </cell>
        </row>
        <row r="13">
          <cell r="C13" t="str">
            <v>製造業</v>
          </cell>
          <cell r="F13">
            <v>19.600000000000001</v>
          </cell>
          <cell r="G13">
            <v>160.4</v>
          </cell>
          <cell r="H13">
            <v>147.1</v>
          </cell>
          <cell r="I13">
            <v>13.3</v>
          </cell>
          <cell r="J13">
            <v>19.899999999999999</v>
          </cell>
          <cell r="K13">
            <v>167.6</v>
          </cell>
          <cell r="L13">
            <v>151.1</v>
          </cell>
          <cell r="M13">
            <v>16.5</v>
          </cell>
          <cell r="N13">
            <v>19.2</v>
          </cell>
          <cell r="O13">
            <v>149.1</v>
          </cell>
          <cell r="P13">
            <v>140.9</v>
          </cell>
          <cell r="Q13">
            <v>8.1999999999999993</v>
          </cell>
        </row>
        <row r="14">
          <cell r="C14" t="str">
            <v>電気・ガス・熱供給・水道業</v>
          </cell>
          <cell r="F14">
            <v>18.399999999999999</v>
          </cell>
          <cell r="G14">
            <v>148.69999999999999</v>
          </cell>
          <cell r="H14">
            <v>133.69999999999999</v>
          </cell>
          <cell r="I14">
            <v>15</v>
          </cell>
          <cell r="J14">
            <v>18.399999999999999</v>
          </cell>
          <cell r="K14">
            <v>152</v>
          </cell>
          <cell r="L14">
            <v>135.19999999999999</v>
          </cell>
          <cell r="M14">
            <v>16.8</v>
          </cell>
          <cell r="N14">
            <v>18.3</v>
          </cell>
          <cell r="O14">
            <v>128.30000000000001</v>
          </cell>
          <cell r="P14">
            <v>124.3</v>
          </cell>
          <cell r="Q14">
            <v>4</v>
          </cell>
        </row>
        <row r="15">
          <cell r="C15" t="str">
            <v>情報通信業</v>
          </cell>
          <cell r="F15">
            <v>18.399999999999999</v>
          </cell>
          <cell r="G15">
            <v>153.4</v>
          </cell>
          <cell r="H15">
            <v>142.1</v>
          </cell>
          <cell r="I15">
            <v>11.3</v>
          </cell>
          <cell r="J15">
            <v>18.399999999999999</v>
          </cell>
          <cell r="K15">
            <v>156</v>
          </cell>
          <cell r="L15">
            <v>144.19999999999999</v>
          </cell>
          <cell r="M15">
            <v>11.8</v>
          </cell>
          <cell r="N15">
            <v>18.399999999999999</v>
          </cell>
          <cell r="O15">
            <v>147.80000000000001</v>
          </cell>
          <cell r="P15">
            <v>137.5</v>
          </cell>
          <cell r="Q15">
            <v>10.3</v>
          </cell>
        </row>
        <row r="16">
          <cell r="C16" t="str">
            <v>運輸業，郵便業</v>
          </cell>
          <cell r="F16">
            <v>20.7</v>
          </cell>
          <cell r="G16">
            <v>175.1</v>
          </cell>
          <cell r="H16">
            <v>149.80000000000001</v>
          </cell>
          <cell r="I16">
            <v>25.3</v>
          </cell>
          <cell r="J16">
            <v>20.8</v>
          </cell>
          <cell r="K16">
            <v>179.8</v>
          </cell>
          <cell r="L16">
            <v>151.9</v>
          </cell>
          <cell r="M16">
            <v>27.9</v>
          </cell>
          <cell r="N16">
            <v>20.2</v>
          </cell>
          <cell r="O16">
            <v>144.9</v>
          </cell>
          <cell r="P16">
            <v>136.6</v>
          </cell>
          <cell r="Q16">
            <v>8.3000000000000007</v>
          </cell>
        </row>
        <row r="17">
          <cell r="C17" t="str">
            <v>卸売業，小売業</v>
          </cell>
          <cell r="F17">
            <v>18.2</v>
          </cell>
          <cell r="G17">
            <v>128.30000000000001</v>
          </cell>
          <cell r="H17">
            <v>120.3</v>
          </cell>
          <cell r="I17">
            <v>8</v>
          </cell>
          <cell r="J17">
            <v>19.5</v>
          </cell>
          <cell r="K17">
            <v>154.19999999999999</v>
          </cell>
          <cell r="L17">
            <v>140.69999999999999</v>
          </cell>
          <cell r="M17">
            <v>13.5</v>
          </cell>
          <cell r="N17">
            <v>17.3</v>
          </cell>
          <cell r="O17">
            <v>110.2</v>
          </cell>
          <cell r="P17">
            <v>106</v>
          </cell>
          <cell r="Q17">
            <v>4.2</v>
          </cell>
        </row>
        <row r="18">
          <cell r="C18" t="str">
            <v>金融業，保険業</v>
          </cell>
          <cell r="F18" t="str">
            <v>#18.7</v>
          </cell>
          <cell r="G18" t="str">
            <v>#137.6</v>
          </cell>
          <cell r="H18" t="str">
            <v>#134.9</v>
          </cell>
          <cell r="I18" t="str">
            <v>#2.7</v>
          </cell>
          <cell r="J18" t="str">
            <v>#18.6</v>
          </cell>
          <cell r="K18" t="str">
            <v>#135.8</v>
          </cell>
          <cell r="L18" t="str">
            <v>#133.2</v>
          </cell>
          <cell r="M18" t="str">
            <v>#2.6</v>
          </cell>
          <cell r="N18" t="str">
            <v>#19.1</v>
          </cell>
          <cell r="O18" t="str">
            <v>#145.1</v>
          </cell>
          <cell r="P18" t="str">
            <v>#141.7</v>
          </cell>
          <cell r="Q18" t="str">
            <v>#3.4</v>
          </cell>
        </row>
        <row r="19">
          <cell r="C19" t="str">
            <v>不動産業，物品賃貸業</v>
          </cell>
          <cell r="F19">
            <v>20.2</v>
          </cell>
          <cell r="G19">
            <v>156.1</v>
          </cell>
          <cell r="H19">
            <v>152.6</v>
          </cell>
          <cell r="I19">
            <v>3.5</v>
          </cell>
          <cell r="J19">
            <v>21.1</v>
          </cell>
          <cell r="K19">
            <v>170</v>
          </cell>
          <cell r="L19">
            <v>164.9</v>
          </cell>
          <cell r="M19">
            <v>5.0999999999999996</v>
          </cell>
          <cell r="N19">
            <v>18.7</v>
          </cell>
          <cell r="O19">
            <v>132.19999999999999</v>
          </cell>
          <cell r="P19">
            <v>131.4</v>
          </cell>
          <cell r="Q19">
            <v>0.8</v>
          </cell>
        </row>
        <row r="20">
          <cell r="C20" t="str">
            <v>学術研究，専門・技術サービス業</v>
          </cell>
          <cell r="F20">
            <v>18.899999999999999</v>
          </cell>
          <cell r="G20">
            <v>159.5</v>
          </cell>
          <cell r="H20">
            <v>145.9</v>
          </cell>
          <cell r="I20">
            <v>13.6</v>
          </cell>
          <cell r="J20">
            <v>18.899999999999999</v>
          </cell>
          <cell r="K20">
            <v>160.6</v>
          </cell>
          <cell r="L20">
            <v>146.19999999999999</v>
          </cell>
          <cell r="M20">
            <v>14.4</v>
          </cell>
          <cell r="N20">
            <v>19.100000000000001</v>
          </cell>
          <cell r="O20">
            <v>154.69999999999999</v>
          </cell>
          <cell r="P20">
            <v>144.5</v>
          </cell>
          <cell r="Q20">
            <v>10.199999999999999</v>
          </cell>
        </row>
        <row r="21">
          <cell r="C21" t="str">
            <v>宿泊業，飲食サービス業</v>
          </cell>
          <cell r="F21">
            <v>15</v>
          </cell>
          <cell r="G21">
            <v>99.9</v>
          </cell>
          <cell r="H21">
            <v>93.8</v>
          </cell>
          <cell r="I21">
            <v>6.1</v>
          </cell>
          <cell r="J21">
            <v>15.8</v>
          </cell>
          <cell r="K21">
            <v>115.4</v>
          </cell>
          <cell r="L21">
            <v>106</v>
          </cell>
          <cell r="M21">
            <v>9.4</v>
          </cell>
          <cell r="N21">
            <v>14.5</v>
          </cell>
          <cell r="O21">
            <v>90.3</v>
          </cell>
          <cell r="P21">
            <v>86.2</v>
          </cell>
          <cell r="Q21">
            <v>4.0999999999999996</v>
          </cell>
        </row>
        <row r="22">
          <cell r="C22" t="str">
            <v>生活関連サービス業，娯楽業</v>
          </cell>
          <cell r="F22">
            <v>15.7</v>
          </cell>
          <cell r="G22">
            <v>137.69999999999999</v>
          </cell>
          <cell r="H22">
            <v>128.9</v>
          </cell>
          <cell r="I22">
            <v>8.8000000000000007</v>
          </cell>
          <cell r="J22">
            <v>15.7</v>
          </cell>
          <cell r="K22">
            <v>142.1</v>
          </cell>
          <cell r="L22">
            <v>131.4</v>
          </cell>
          <cell r="M22">
            <v>10.7</v>
          </cell>
          <cell r="N22">
            <v>15.8</v>
          </cell>
          <cell r="O22">
            <v>130.69999999999999</v>
          </cell>
          <cell r="P22">
            <v>124.9</v>
          </cell>
          <cell r="Q22">
            <v>5.8</v>
          </cell>
        </row>
        <row r="23">
          <cell r="C23" t="str">
            <v>教育，学習支援業</v>
          </cell>
          <cell r="F23">
            <v>17.399999999999999</v>
          </cell>
          <cell r="G23">
            <v>154.80000000000001</v>
          </cell>
          <cell r="H23">
            <v>127.4</v>
          </cell>
          <cell r="I23">
            <v>27.4</v>
          </cell>
          <cell r="J23">
            <v>18.2</v>
          </cell>
          <cell r="K23">
            <v>169.4</v>
          </cell>
          <cell r="L23">
            <v>135</v>
          </cell>
          <cell r="M23">
            <v>34.4</v>
          </cell>
          <cell r="N23">
            <v>16.7</v>
          </cell>
          <cell r="O23">
            <v>141.19999999999999</v>
          </cell>
          <cell r="P23">
            <v>120.3</v>
          </cell>
          <cell r="Q23">
            <v>20.9</v>
          </cell>
        </row>
        <row r="24">
          <cell r="C24" t="str">
            <v>医療，福祉</v>
          </cell>
          <cell r="F24">
            <v>18.899999999999999</v>
          </cell>
          <cell r="G24">
            <v>140.9</v>
          </cell>
          <cell r="H24">
            <v>136.5</v>
          </cell>
          <cell r="I24">
            <v>4.4000000000000004</v>
          </cell>
          <cell r="J24">
            <v>19.3</v>
          </cell>
          <cell r="K24">
            <v>150.69999999999999</v>
          </cell>
          <cell r="L24">
            <v>144.9</v>
          </cell>
          <cell r="M24">
            <v>5.8</v>
          </cell>
          <cell r="N24">
            <v>18.8</v>
          </cell>
          <cell r="O24">
            <v>137.6</v>
          </cell>
          <cell r="P24">
            <v>133.69999999999999</v>
          </cell>
          <cell r="Q24">
            <v>3.9</v>
          </cell>
        </row>
        <row r="25">
          <cell r="C25" t="str">
            <v>複合サービス事業</v>
          </cell>
          <cell r="F25">
            <v>19.7</v>
          </cell>
          <cell r="G25">
            <v>157.30000000000001</v>
          </cell>
          <cell r="H25">
            <v>152.19999999999999</v>
          </cell>
          <cell r="I25">
            <v>5.0999999999999996</v>
          </cell>
          <cell r="J25">
            <v>20</v>
          </cell>
          <cell r="K25">
            <v>162.80000000000001</v>
          </cell>
          <cell r="L25">
            <v>157.4</v>
          </cell>
          <cell r="M25">
            <v>5.4</v>
          </cell>
          <cell r="N25">
            <v>19.3</v>
          </cell>
          <cell r="O25">
            <v>148.30000000000001</v>
          </cell>
          <cell r="P25">
            <v>143.80000000000001</v>
          </cell>
          <cell r="Q25">
            <v>4.5</v>
          </cell>
        </row>
        <row r="26">
          <cell r="C26" t="str">
            <v>サービス業（他に分類されないもの）</v>
          </cell>
          <cell r="F26">
            <v>18.5</v>
          </cell>
          <cell r="G26">
            <v>139.19999999999999</v>
          </cell>
          <cell r="H26">
            <v>130.4</v>
          </cell>
          <cell r="I26">
            <v>8.8000000000000007</v>
          </cell>
          <cell r="J26">
            <v>18.7</v>
          </cell>
          <cell r="K26">
            <v>154.1</v>
          </cell>
          <cell r="L26">
            <v>141.5</v>
          </cell>
          <cell r="M26">
            <v>12.6</v>
          </cell>
          <cell r="N26">
            <v>18.2</v>
          </cell>
          <cell r="O26">
            <v>122.8</v>
          </cell>
          <cell r="P26">
            <v>118.2</v>
          </cell>
          <cell r="Q26">
            <v>4.5999999999999996</v>
          </cell>
        </row>
        <row r="27">
          <cell r="C27" t="str">
            <v>食料品・たばこ</v>
          </cell>
          <cell r="F27">
            <v>19.5</v>
          </cell>
          <cell r="G27">
            <v>154.4</v>
          </cell>
          <cell r="H27">
            <v>142.19999999999999</v>
          </cell>
          <cell r="I27">
            <v>12.2</v>
          </cell>
          <cell r="J27">
            <v>19.899999999999999</v>
          </cell>
          <cell r="K27">
            <v>166.1</v>
          </cell>
          <cell r="L27">
            <v>150.4</v>
          </cell>
          <cell r="M27">
            <v>15.7</v>
          </cell>
          <cell r="N27">
            <v>19.2</v>
          </cell>
          <cell r="O27">
            <v>146</v>
          </cell>
          <cell r="P27">
            <v>136.30000000000001</v>
          </cell>
          <cell r="Q27">
            <v>9.6999999999999993</v>
          </cell>
        </row>
        <row r="28">
          <cell r="C28" t="str">
            <v>繊維工業</v>
          </cell>
          <cell r="F28">
            <v>19.7</v>
          </cell>
          <cell r="G28">
            <v>160.80000000000001</v>
          </cell>
          <cell r="H28">
            <v>148.19999999999999</v>
          </cell>
          <cell r="I28">
            <v>12.6</v>
          </cell>
          <cell r="J28">
            <v>20</v>
          </cell>
          <cell r="K28">
            <v>163.19999999999999</v>
          </cell>
          <cell r="L28">
            <v>148.4</v>
          </cell>
          <cell r="M28">
            <v>14.8</v>
          </cell>
          <cell r="N28">
            <v>19.399999999999999</v>
          </cell>
          <cell r="O28">
            <v>158.9</v>
          </cell>
          <cell r="P28">
            <v>148</v>
          </cell>
          <cell r="Q28">
            <v>10.9</v>
          </cell>
        </row>
        <row r="29">
          <cell r="C29" t="str">
            <v>木材・木製品</v>
          </cell>
          <cell r="F29">
            <v>19.5</v>
          </cell>
          <cell r="G29">
            <v>156.69999999999999</v>
          </cell>
          <cell r="H29">
            <v>147.4</v>
          </cell>
          <cell r="I29">
            <v>9.3000000000000007</v>
          </cell>
          <cell r="J29">
            <v>19.2</v>
          </cell>
          <cell r="K29">
            <v>160.6</v>
          </cell>
          <cell r="L29">
            <v>149.80000000000001</v>
          </cell>
          <cell r="M29">
            <v>10.8</v>
          </cell>
          <cell r="N29">
            <v>20.9</v>
          </cell>
          <cell r="O29">
            <v>139.5</v>
          </cell>
          <cell r="P29">
            <v>136.6</v>
          </cell>
          <cell r="Q29">
            <v>2.9</v>
          </cell>
        </row>
        <row r="30">
          <cell r="C30" t="str">
            <v>家具・装備品</v>
          </cell>
          <cell r="F30" t="str">
            <v>#20.9</v>
          </cell>
          <cell r="G30" t="str">
            <v>#156.2</v>
          </cell>
          <cell r="H30" t="str">
            <v>#156.2</v>
          </cell>
          <cell r="I30" t="str">
            <v>#0</v>
          </cell>
          <cell r="J30" t="str">
            <v>#20.8</v>
          </cell>
          <cell r="K30" t="str">
            <v>#160.7</v>
          </cell>
          <cell r="L30" t="str">
            <v>#160.7</v>
          </cell>
          <cell r="M30" t="str">
            <v>#0</v>
          </cell>
          <cell r="N30" t="str">
            <v>#21.1</v>
          </cell>
          <cell r="O30" t="str">
            <v>#145.7</v>
          </cell>
          <cell r="P30" t="str">
            <v>#145.7</v>
          </cell>
          <cell r="Q30" t="str">
            <v>#0</v>
          </cell>
        </row>
        <row r="31">
          <cell r="C31" t="str">
            <v>パルプ・紙</v>
          </cell>
          <cell r="F31" t="str">
            <v>#20.8</v>
          </cell>
          <cell r="G31" t="str">
            <v>#162.9</v>
          </cell>
          <cell r="H31" t="str">
            <v>#155.9</v>
          </cell>
          <cell r="I31" t="str">
            <v>#7</v>
          </cell>
          <cell r="J31" t="str">
            <v>#21.2</v>
          </cell>
          <cell r="K31" t="str">
            <v>#167.1</v>
          </cell>
          <cell r="L31" t="str">
            <v>#158.4</v>
          </cell>
          <cell r="M31" t="str">
            <v>#8.7</v>
          </cell>
          <cell r="N31" t="str">
            <v>#19.8</v>
          </cell>
          <cell r="O31" t="str">
            <v>#149.7</v>
          </cell>
          <cell r="P31" t="str">
            <v>#148.2</v>
          </cell>
          <cell r="Q31" t="str">
            <v>#1.5</v>
          </cell>
        </row>
        <row r="32">
          <cell r="C32" t="str">
            <v>印刷・同関連業</v>
          </cell>
          <cell r="F32">
            <v>17.899999999999999</v>
          </cell>
          <cell r="G32">
            <v>130.9</v>
          </cell>
          <cell r="H32">
            <v>122.3</v>
          </cell>
          <cell r="I32">
            <v>8.6</v>
          </cell>
          <cell r="J32">
            <v>18.5</v>
          </cell>
          <cell r="K32">
            <v>139.1</v>
          </cell>
          <cell r="L32">
            <v>128</v>
          </cell>
          <cell r="M32">
            <v>11.1</v>
          </cell>
          <cell r="N32">
            <v>16.399999999999999</v>
          </cell>
          <cell r="O32">
            <v>111.1</v>
          </cell>
          <cell r="P32">
            <v>108.5</v>
          </cell>
          <cell r="Q32">
            <v>2.6</v>
          </cell>
        </row>
        <row r="33">
          <cell r="C33" t="str">
            <v>化学、石油・石炭</v>
          </cell>
          <cell r="F33">
            <v>19.899999999999999</v>
          </cell>
          <cell r="G33">
            <v>163.69999999999999</v>
          </cell>
          <cell r="H33">
            <v>143.19999999999999</v>
          </cell>
          <cell r="I33">
            <v>20.5</v>
          </cell>
          <cell r="J33">
            <v>20</v>
          </cell>
          <cell r="K33">
            <v>164.6</v>
          </cell>
          <cell r="L33">
            <v>142.9</v>
          </cell>
          <cell r="M33">
            <v>21.7</v>
          </cell>
          <cell r="N33">
            <v>19.600000000000001</v>
          </cell>
          <cell r="O33">
            <v>152.19999999999999</v>
          </cell>
          <cell r="P33">
            <v>146.9</v>
          </cell>
          <cell r="Q33">
            <v>5.3</v>
          </cell>
        </row>
        <row r="34">
          <cell r="C34" t="str">
            <v>プラスチック製品</v>
          </cell>
          <cell r="F34">
            <v>19.899999999999999</v>
          </cell>
          <cell r="G34">
            <v>158.19999999999999</v>
          </cell>
          <cell r="H34">
            <v>147.4</v>
          </cell>
          <cell r="I34">
            <v>10.8</v>
          </cell>
          <cell r="J34">
            <v>20</v>
          </cell>
          <cell r="K34">
            <v>166.1</v>
          </cell>
          <cell r="L34">
            <v>152</v>
          </cell>
          <cell r="M34">
            <v>14.1</v>
          </cell>
          <cell r="N34">
            <v>19.7</v>
          </cell>
          <cell r="O34">
            <v>134.9</v>
          </cell>
          <cell r="P34">
            <v>133.80000000000001</v>
          </cell>
          <cell r="Q34">
            <v>1.1000000000000001</v>
          </cell>
        </row>
        <row r="35">
          <cell r="C35" t="str">
            <v>ゴム製品</v>
          </cell>
          <cell r="F35">
            <v>20.5</v>
          </cell>
          <cell r="G35">
            <v>171.5</v>
          </cell>
          <cell r="H35">
            <v>151</v>
          </cell>
          <cell r="I35">
            <v>20.5</v>
          </cell>
          <cell r="J35">
            <v>20.6</v>
          </cell>
          <cell r="K35">
            <v>173.1</v>
          </cell>
          <cell r="L35">
            <v>150.69999999999999</v>
          </cell>
          <cell r="M35">
            <v>22.4</v>
          </cell>
          <cell r="N35">
            <v>19.899999999999999</v>
          </cell>
          <cell r="O35">
            <v>161.19999999999999</v>
          </cell>
          <cell r="P35">
            <v>153.1</v>
          </cell>
          <cell r="Q35">
            <v>8.1</v>
          </cell>
        </row>
        <row r="36">
          <cell r="C36" t="str">
            <v>窯業・土石製品</v>
          </cell>
          <cell r="F36">
            <v>19.600000000000001</v>
          </cell>
          <cell r="G36">
            <v>155.9</v>
          </cell>
          <cell r="H36">
            <v>146.6</v>
          </cell>
          <cell r="I36">
            <v>9.3000000000000007</v>
          </cell>
          <cell r="J36">
            <v>19.8</v>
          </cell>
          <cell r="K36">
            <v>163.19999999999999</v>
          </cell>
          <cell r="L36">
            <v>151.69999999999999</v>
          </cell>
          <cell r="M36">
            <v>11.5</v>
          </cell>
          <cell r="N36">
            <v>19.100000000000001</v>
          </cell>
          <cell r="O36">
            <v>131.69999999999999</v>
          </cell>
          <cell r="P36">
            <v>129.9</v>
          </cell>
          <cell r="Q36">
            <v>1.8</v>
          </cell>
        </row>
        <row r="37">
          <cell r="C37" t="str">
            <v>鉄鋼業</v>
          </cell>
          <cell r="F37" t="str">
            <v>#19.5</v>
          </cell>
          <cell r="G37" t="str">
            <v>#178.1</v>
          </cell>
          <cell r="H37" t="str">
            <v>#152.8</v>
          </cell>
          <cell r="I37" t="str">
            <v>#25.3</v>
          </cell>
          <cell r="J37" t="str">
            <v>#19.5</v>
          </cell>
          <cell r="K37" t="str">
            <v>#179</v>
          </cell>
          <cell r="L37" t="str">
            <v>#153.1</v>
          </cell>
          <cell r="M37" t="str">
            <v>#25.9</v>
          </cell>
          <cell r="N37" t="str">
            <v>#18.8</v>
          </cell>
          <cell r="O37" t="str">
            <v>#165.5</v>
          </cell>
          <cell r="P37" t="str">
            <v>#148.2</v>
          </cell>
          <cell r="Q37" t="str">
            <v>#17.3</v>
          </cell>
        </row>
        <row r="38">
          <cell r="C38" t="str">
            <v>非鉄金属製造業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</row>
        <row r="39">
          <cell r="C39" t="str">
            <v>金属製品製造業</v>
          </cell>
          <cell r="F39">
            <v>20.100000000000001</v>
          </cell>
          <cell r="G39">
            <v>165.4</v>
          </cell>
          <cell r="H39">
            <v>154.9</v>
          </cell>
          <cell r="I39">
            <v>10.5</v>
          </cell>
          <cell r="J39">
            <v>20.3</v>
          </cell>
          <cell r="K39">
            <v>171</v>
          </cell>
          <cell r="L39">
            <v>158.19999999999999</v>
          </cell>
          <cell r="M39">
            <v>12.8</v>
          </cell>
          <cell r="N39">
            <v>19.2</v>
          </cell>
          <cell r="O39">
            <v>148.6</v>
          </cell>
          <cell r="P39">
            <v>145.1</v>
          </cell>
          <cell r="Q39">
            <v>3.5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19.399999999999999</v>
          </cell>
          <cell r="G42">
            <v>160.80000000000001</v>
          </cell>
          <cell r="H42">
            <v>152</v>
          </cell>
          <cell r="I42">
            <v>8.8000000000000007</v>
          </cell>
          <cell r="J42">
            <v>20</v>
          </cell>
          <cell r="K42">
            <v>166.8</v>
          </cell>
          <cell r="L42">
            <v>155.19999999999999</v>
          </cell>
          <cell r="M42">
            <v>11.6</v>
          </cell>
          <cell r="N42">
            <v>18.8</v>
          </cell>
          <cell r="O42">
            <v>155.19999999999999</v>
          </cell>
          <cell r="P42">
            <v>149</v>
          </cell>
          <cell r="Q42">
            <v>6.2</v>
          </cell>
        </row>
        <row r="43">
          <cell r="C43" t="str">
            <v>電子・デバイス</v>
          </cell>
          <cell r="F43">
            <v>19</v>
          </cell>
          <cell r="G43">
            <v>160.1</v>
          </cell>
          <cell r="H43">
            <v>147.6</v>
          </cell>
          <cell r="I43">
            <v>12.5</v>
          </cell>
          <cell r="J43">
            <v>19</v>
          </cell>
          <cell r="K43">
            <v>166.4</v>
          </cell>
          <cell r="L43">
            <v>150.69999999999999</v>
          </cell>
          <cell r="M43">
            <v>15.7</v>
          </cell>
          <cell r="N43">
            <v>19</v>
          </cell>
          <cell r="O43">
            <v>147.9</v>
          </cell>
          <cell r="P43">
            <v>141.5</v>
          </cell>
          <cell r="Q43">
            <v>6.4</v>
          </cell>
        </row>
        <row r="44">
          <cell r="C44" t="str">
            <v>電気機械器具</v>
          </cell>
          <cell r="F44">
            <v>20.9</v>
          </cell>
          <cell r="G44">
            <v>166.8</v>
          </cell>
          <cell r="H44">
            <v>161.5</v>
          </cell>
          <cell r="I44">
            <v>5.3</v>
          </cell>
          <cell r="J44">
            <v>21.1</v>
          </cell>
          <cell r="K44">
            <v>172.1</v>
          </cell>
          <cell r="L44">
            <v>164.9</v>
          </cell>
          <cell r="M44">
            <v>7.2</v>
          </cell>
          <cell r="N44">
            <v>20.399999999999999</v>
          </cell>
          <cell r="O44">
            <v>155.80000000000001</v>
          </cell>
          <cell r="P44">
            <v>154.4</v>
          </cell>
          <cell r="Q44">
            <v>1.4</v>
          </cell>
        </row>
        <row r="45">
          <cell r="C45" t="str">
            <v>情報通信機械器具</v>
          </cell>
          <cell r="F45">
            <v>18.5</v>
          </cell>
          <cell r="G45">
            <v>153.1</v>
          </cell>
          <cell r="H45">
            <v>146.5</v>
          </cell>
          <cell r="I45">
            <v>6.6</v>
          </cell>
          <cell r="J45">
            <v>18.5</v>
          </cell>
          <cell r="K45">
            <v>154.6</v>
          </cell>
          <cell r="L45">
            <v>146.5</v>
          </cell>
          <cell r="M45">
            <v>8.1</v>
          </cell>
          <cell r="N45">
            <v>18.600000000000001</v>
          </cell>
          <cell r="O45">
            <v>151.5</v>
          </cell>
          <cell r="P45">
            <v>146.5</v>
          </cell>
          <cell r="Q45">
            <v>5</v>
          </cell>
        </row>
        <row r="46">
          <cell r="C46" t="str">
            <v>輸送用機械器具</v>
          </cell>
          <cell r="F46">
            <v>18.899999999999999</v>
          </cell>
          <cell r="G46">
            <v>175.9</v>
          </cell>
          <cell r="H46">
            <v>152.69999999999999</v>
          </cell>
          <cell r="I46">
            <v>23.2</v>
          </cell>
          <cell r="J46">
            <v>19</v>
          </cell>
          <cell r="K46">
            <v>179</v>
          </cell>
          <cell r="L46">
            <v>154.5</v>
          </cell>
          <cell r="M46">
            <v>24.5</v>
          </cell>
          <cell r="N46">
            <v>18.7</v>
          </cell>
          <cell r="O46">
            <v>162.69999999999999</v>
          </cell>
          <cell r="P46">
            <v>144.9</v>
          </cell>
          <cell r="Q46">
            <v>17.8</v>
          </cell>
        </row>
        <row r="47">
          <cell r="C47" t="str">
            <v>その他の製造業</v>
          </cell>
          <cell r="F47">
            <v>20.9</v>
          </cell>
          <cell r="G47">
            <v>179</v>
          </cell>
          <cell r="H47">
            <v>153.69999999999999</v>
          </cell>
          <cell r="I47">
            <v>25.3</v>
          </cell>
          <cell r="J47">
            <v>21.4</v>
          </cell>
          <cell r="K47">
            <v>189.7</v>
          </cell>
          <cell r="L47">
            <v>158.30000000000001</v>
          </cell>
          <cell r="M47">
            <v>31.4</v>
          </cell>
          <cell r="N47">
            <v>19.100000000000001</v>
          </cell>
          <cell r="O47">
            <v>139.9</v>
          </cell>
          <cell r="P47">
            <v>136.80000000000001</v>
          </cell>
          <cell r="Q47">
            <v>3.1</v>
          </cell>
        </row>
        <row r="48">
          <cell r="C48" t="str">
            <v>Ｅ一括分１</v>
          </cell>
          <cell r="F48">
            <v>19.899999999999999</v>
          </cell>
          <cell r="G48">
            <v>162.5</v>
          </cell>
          <cell r="H48">
            <v>153</v>
          </cell>
          <cell r="I48">
            <v>9.5</v>
          </cell>
          <cell r="J48">
            <v>20.3</v>
          </cell>
          <cell r="K48">
            <v>167.6</v>
          </cell>
          <cell r="L48">
            <v>154.69999999999999</v>
          </cell>
          <cell r="M48">
            <v>12.9</v>
          </cell>
          <cell r="N48">
            <v>19.3</v>
          </cell>
          <cell r="O48">
            <v>154.6</v>
          </cell>
          <cell r="P48">
            <v>150.30000000000001</v>
          </cell>
          <cell r="Q48">
            <v>4.3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20.8</v>
          </cell>
          <cell r="G51">
            <v>166.4</v>
          </cell>
          <cell r="H51">
            <v>157.6</v>
          </cell>
          <cell r="I51">
            <v>8.8000000000000007</v>
          </cell>
          <cell r="J51">
            <v>21.1</v>
          </cell>
          <cell r="K51">
            <v>173</v>
          </cell>
          <cell r="L51">
            <v>161.6</v>
          </cell>
          <cell r="M51">
            <v>11.4</v>
          </cell>
          <cell r="N51">
            <v>20.100000000000001</v>
          </cell>
          <cell r="O51">
            <v>151.5</v>
          </cell>
          <cell r="P51">
            <v>148.5</v>
          </cell>
          <cell r="Q51">
            <v>3</v>
          </cell>
        </row>
        <row r="52">
          <cell r="C52" t="str">
            <v>小売業</v>
          </cell>
          <cell r="F52">
            <v>17.5</v>
          </cell>
          <cell r="G52">
            <v>117.3</v>
          </cell>
          <cell r="H52">
            <v>109.5</v>
          </cell>
          <cell r="I52">
            <v>7.8</v>
          </cell>
          <cell r="J52">
            <v>18.600000000000001</v>
          </cell>
          <cell r="K52">
            <v>142.80000000000001</v>
          </cell>
          <cell r="L52">
            <v>128</v>
          </cell>
          <cell r="M52">
            <v>14.8</v>
          </cell>
          <cell r="N52">
            <v>16.899999999999999</v>
          </cell>
          <cell r="O52">
            <v>104.6</v>
          </cell>
          <cell r="P52">
            <v>100.3</v>
          </cell>
          <cell r="Q52">
            <v>4.3</v>
          </cell>
        </row>
        <row r="53">
          <cell r="C53" t="str">
            <v>宿泊業</v>
          </cell>
          <cell r="F53">
            <v>16.8</v>
          </cell>
          <cell r="G53">
            <v>124.4</v>
          </cell>
          <cell r="H53">
            <v>114.8</v>
          </cell>
          <cell r="I53">
            <v>9.6</v>
          </cell>
          <cell r="J53">
            <v>17.7</v>
          </cell>
          <cell r="K53">
            <v>145</v>
          </cell>
          <cell r="L53">
            <v>131.1</v>
          </cell>
          <cell r="M53">
            <v>13.9</v>
          </cell>
          <cell r="N53">
            <v>16.100000000000001</v>
          </cell>
          <cell r="O53">
            <v>107.3</v>
          </cell>
          <cell r="P53">
            <v>101.2</v>
          </cell>
          <cell r="Q53">
            <v>6.1</v>
          </cell>
        </row>
        <row r="54">
          <cell r="C54" t="str">
            <v>Ｍ一括分</v>
          </cell>
          <cell r="F54">
            <v>13.5</v>
          </cell>
          <cell r="G54">
            <v>80</v>
          </cell>
          <cell r="H54">
            <v>76.7</v>
          </cell>
          <cell r="I54">
            <v>3.3</v>
          </cell>
          <cell r="J54">
            <v>13.7</v>
          </cell>
          <cell r="K54">
            <v>81.599999999999994</v>
          </cell>
          <cell r="L54">
            <v>77.3</v>
          </cell>
          <cell r="M54">
            <v>4.3</v>
          </cell>
          <cell r="N54">
            <v>13.5</v>
          </cell>
          <cell r="O54">
            <v>79.3</v>
          </cell>
          <cell r="P54">
            <v>76.5</v>
          </cell>
          <cell r="Q54">
            <v>2.8</v>
          </cell>
        </row>
        <row r="55">
          <cell r="C55" t="str">
            <v>医療業</v>
          </cell>
          <cell r="F55">
            <v>19</v>
          </cell>
          <cell r="G55">
            <v>144</v>
          </cell>
          <cell r="H55">
            <v>138.9</v>
          </cell>
          <cell r="I55">
            <v>5.0999999999999996</v>
          </cell>
          <cell r="J55">
            <v>19.399999999999999</v>
          </cell>
          <cell r="K55">
            <v>151.69999999999999</v>
          </cell>
          <cell r="L55">
            <v>145.80000000000001</v>
          </cell>
          <cell r="M55">
            <v>5.9</v>
          </cell>
          <cell r="N55">
            <v>18.899999999999999</v>
          </cell>
          <cell r="O55">
            <v>141.4</v>
          </cell>
          <cell r="P55">
            <v>136.6</v>
          </cell>
          <cell r="Q55">
            <v>4.8</v>
          </cell>
        </row>
        <row r="56">
          <cell r="C56" t="str">
            <v>Ｐ一括分</v>
          </cell>
          <cell r="F56">
            <v>18.8</v>
          </cell>
          <cell r="G56">
            <v>137</v>
          </cell>
          <cell r="H56">
            <v>133.4</v>
          </cell>
          <cell r="I56">
            <v>3.6</v>
          </cell>
          <cell r="J56">
            <v>19.3</v>
          </cell>
          <cell r="K56">
            <v>149.5</v>
          </cell>
          <cell r="L56">
            <v>143.80000000000001</v>
          </cell>
          <cell r="M56">
            <v>5.7</v>
          </cell>
          <cell r="N56">
            <v>18.600000000000001</v>
          </cell>
          <cell r="O56">
            <v>132.5</v>
          </cell>
          <cell r="P56">
            <v>129.69999999999999</v>
          </cell>
          <cell r="Q56">
            <v>2.8</v>
          </cell>
        </row>
        <row r="57">
          <cell r="C57" t="str">
            <v>職業紹介・派遣業</v>
          </cell>
          <cell r="F57">
            <v>18.2</v>
          </cell>
          <cell r="G57">
            <v>147.4</v>
          </cell>
          <cell r="H57">
            <v>138.69999999999999</v>
          </cell>
          <cell r="I57">
            <v>8.6999999999999993</v>
          </cell>
          <cell r="J57">
            <v>18.5</v>
          </cell>
          <cell r="K57">
            <v>161.69999999999999</v>
          </cell>
          <cell r="L57">
            <v>148.1</v>
          </cell>
          <cell r="M57">
            <v>13.6</v>
          </cell>
          <cell r="N57">
            <v>17.8</v>
          </cell>
          <cell r="O57">
            <v>135.80000000000001</v>
          </cell>
          <cell r="P57">
            <v>131.1</v>
          </cell>
          <cell r="Q57">
            <v>4.7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18.5</v>
          </cell>
          <cell r="G59">
            <v>137.1</v>
          </cell>
          <cell r="H59">
            <v>128.30000000000001</v>
          </cell>
          <cell r="I59">
            <v>8.8000000000000007</v>
          </cell>
          <cell r="J59">
            <v>18.8</v>
          </cell>
          <cell r="K59">
            <v>152.5</v>
          </cell>
          <cell r="L59">
            <v>140.1</v>
          </cell>
          <cell r="M59">
            <v>12.4</v>
          </cell>
          <cell r="N59">
            <v>18.3</v>
          </cell>
          <cell r="O59">
            <v>118.8</v>
          </cell>
          <cell r="P59">
            <v>114.2</v>
          </cell>
          <cell r="Q59">
            <v>4.5999999999999996</v>
          </cell>
        </row>
        <row r="60">
          <cell r="C60" t="str">
            <v>特掲産業１</v>
          </cell>
          <cell r="F60" t="str">
            <v>#13.2</v>
          </cell>
          <cell r="G60" t="str">
            <v>#105.7</v>
          </cell>
          <cell r="H60" t="str">
            <v>#101.4</v>
          </cell>
          <cell r="I60" t="str">
            <v>#4.3</v>
          </cell>
          <cell r="J60" t="str">
            <v>#13.4</v>
          </cell>
          <cell r="K60" t="str">
            <v>#110.3</v>
          </cell>
          <cell r="L60" t="str">
            <v>#105.4</v>
          </cell>
          <cell r="M60" t="str">
            <v>#4.9</v>
          </cell>
          <cell r="N60" t="str">
            <v>#12.6</v>
          </cell>
          <cell r="O60" t="str">
            <v>#95</v>
          </cell>
          <cell r="P60" t="str">
            <v>#92</v>
          </cell>
          <cell r="Q60" t="str">
            <v>#3</v>
          </cell>
        </row>
        <row r="61">
          <cell r="C61" t="str">
            <v>特掲産業２</v>
          </cell>
          <cell r="F61" t="str">
            <v>#17.7</v>
          </cell>
          <cell r="G61" t="str">
            <v>#145.4</v>
          </cell>
          <cell r="H61" t="str">
            <v>#136.3</v>
          </cell>
          <cell r="I61" t="str">
            <v>#9.1</v>
          </cell>
          <cell r="J61" t="str">
            <v>#18.6</v>
          </cell>
          <cell r="K61" t="str">
            <v>#158.2</v>
          </cell>
          <cell r="L61" t="str">
            <v>#144.3</v>
          </cell>
          <cell r="M61" t="str">
            <v>#13.9</v>
          </cell>
          <cell r="N61" t="str">
            <v>#16.6</v>
          </cell>
          <cell r="O61" t="str">
            <v>#128.1</v>
          </cell>
          <cell r="P61" t="str">
            <v>#125.5</v>
          </cell>
          <cell r="Q61" t="str">
            <v>#2.6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18.600000000000001</v>
          </cell>
          <cell r="G80">
            <v>142.30000000000001</v>
          </cell>
          <cell r="H80">
            <v>132.6</v>
          </cell>
          <cell r="I80">
            <v>9.6999999999999993</v>
          </cell>
          <cell r="J80">
            <v>19.3</v>
          </cell>
          <cell r="K80">
            <v>156.5</v>
          </cell>
          <cell r="L80">
            <v>142.6</v>
          </cell>
          <cell r="M80">
            <v>13.9</v>
          </cell>
          <cell r="N80">
            <v>17.8</v>
          </cell>
          <cell r="O80">
            <v>128.19999999999999</v>
          </cell>
          <cell r="P80">
            <v>122.7</v>
          </cell>
          <cell r="Q80">
            <v>5.5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21.2</v>
          </cell>
          <cell r="G82">
            <v>160.5</v>
          </cell>
          <cell r="H82">
            <v>153.6</v>
          </cell>
          <cell r="I82">
            <v>6.9</v>
          </cell>
          <cell r="J82">
            <v>21.4</v>
          </cell>
          <cell r="K82">
            <v>163</v>
          </cell>
          <cell r="L82">
            <v>155.4</v>
          </cell>
          <cell r="M82">
            <v>7.6</v>
          </cell>
          <cell r="N82">
            <v>20</v>
          </cell>
          <cell r="O82">
            <v>145.5</v>
          </cell>
          <cell r="P82">
            <v>142.5</v>
          </cell>
          <cell r="Q82">
            <v>3</v>
          </cell>
        </row>
        <row r="83">
          <cell r="C83" t="str">
            <v>製造業</v>
          </cell>
          <cell r="F83">
            <v>19.399999999999999</v>
          </cell>
          <cell r="G83">
            <v>157.1</v>
          </cell>
          <cell r="H83">
            <v>144.80000000000001</v>
          </cell>
          <cell r="I83">
            <v>12.3</v>
          </cell>
          <cell r="J83">
            <v>19.899999999999999</v>
          </cell>
          <cell r="K83">
            <v>167.5</v>
          </cell>
          <cell r="L83">
            <v>151.1</v>
          </cell>
          <cell r="M83">
            <v>16.399999999999999</v>
          </cell>
          <cell r="N83">
            <v>18.8</v>
          </cell>
          <cell r="O83">
            <v>143.19999999999999</v>
          </cell>
          <cell r="P83">
            <v>136.4</v>
          </cell>
          <cell r="Q83">
            <v>6.8</v>
          </cell>
        </row>
        <row r="84">
          <cell r="C84" t="str">
            <v>電気・ガス・熱供給・水道業</v>
          </cell>
          <cell r="F84">
            <v>18.399999999999999</v>
          </cell>
          <cell r="G84">
            <v>148.69999999999999</v>
          </cell>
          <cell r="H84">
            <v>133.69999999999999</v>
          </cell>
          <cell r="I84">
            <v>15</v>
          </cell>
          <cell r="J84">
            <v>18.399999999999999</v>
          </cell>
          <cell r="K84">
            <v>152</v>
          </cell>
          <cell r="L84">
            <v>135.19999999999999</v>
          </cell>
          <cell r="M84">
            <v>16.8</v>
          </cell>
          <cell r="N84">
            <v>18.3</v>
          </cell>
          <cell r="O84">
            <v>128.30000000000001</v>
          </cell>
          <cell r="P84">
            <v>124.3</v>
          </cell>
          <cell r="Q84">
            <v>4</v>
          </cell>
        </row>
        <row r="85">
          <cell r="C85" t="str">
            <v>情報通信業</v>
          </cell>
          <cell r="F85">
            <v>18.899999999999999</v>
          </cell>
          <cell r="G85">
            <v>155.4</v>
          </cell>
          <cell r="H85">
            <v>145.5</v>
          </cell>
          <cell r="I85">
            <v>9.9</v>
          </cell>
          <cell r="J85">
            <v>19</v>
          </cell>
          <cell r="K85">
            <v>158.19999999999999</v>
          </cell>
          <cell r="L85">
            <v>147.80000000000001</v>
          </cell>
          <cell r="M85">
            <v>10.4</v>
          </cell>
          <cell r="N85">
            <v>18.600000000000001</v>
          </cell>
          <cell r="O85">
            <v>148.9</v>
          </cell>
          <cell r="P85">
            <v>140.1</v>
          </cell>
          <cell r="Q85">
            <v>8.8000000000000007</v>
          </cell>
        </row>
        <row r="86">
          <cell r="C86" t="str">
            <v>運輸業，郵便業</v>
          </cell>
          <cell r="F86">
            <v>20.6</v>
          </cell>
          <cell r="G86">
            <v>183</v>
          </cell>
          <cell r="H86">
            <v>151.6</v>
          </cell>
          <cell r="I86">
            <v>31.4</v>
          </cell>
          <cell r="J86">
            <v>20.7</v>
          </cell>
          <cell r="K86">
            <v>187.3</v>
          </cell>
          <cell r="L86">
            <v>153.19999999999999</v>
          </cell>
          <cell r="M86">
            <v>34.1</v>
          </cell>
          <cell r="N86">
            <v>20</v>
          </cell>
          <cell r="O86">
            <v>145.5</v>
          </cell>
          <cell r="P86">
            <v>137.80000000000001</v>
          </cell>
          <cell r="Q86">
            <v>7.7</v>
          </cell>
        </row>
        <row r="87">
          <cell r="C87" t="str">
            <v>卸売業，小売業</v>
          </cell>
          <cell r="F87">
            <v>18.3</v>
          </cell>
          <cell r="G87">
            <v>135.9</v>
          </cell>
          <cell r="H87">
            <v>127.3</v>
          </cell>
          <cell r="I87">
            <v>8.6</v>
          </cell>
          <cell r="J87">
            <v>19.2</v>
          </cell>
          <cell r="K87">
            <v>156.5</v>
          </cell>
          <cell r="L87">
            <v>143.30000000000001</v>
          </cell>
          <cell r="M87">
            <v>13.2</v>
          </cell>
          <cell r="N87">
            <v>17.3</v>
          </cell>
          <cell r="O87">
            <v>112.7</v>
          </cell>
          <cell r="P87">
            <v>109.3</v>
          </cell>
          <cell r="Q87">
            <v>3.4</v>
          </cell>
        </row>
        <row r="88">
          <cell r="C88" t="str">
            <v>金融業，保険業</v>
          </cell>
          <cell r="F88">
            <v>18.2</v>
          </cell>
          <cell r="G88">
            <v>141</v>
          </cell>
          <cell r="H88">
            <v>135.4</v>
          </cell>
          <cell r="I88">
            <v>5.6</v>
          </cell>
          <cell r="J88">
            <v>18.600000000000001</v>
          </cell>
          <cell r="K88">
            <v>147.30000000000001</v>
          </cell>
          <cell r="L88">
            <v>139.9</v>
          </cell>
          <cell r="M88">
            <v>7.4</v>
          </cell>
          <cell r="N88">
            <v>17.600000000000001</v>
          </cell>
          <cell r="O88">
            <v>131.9</v>
          </cell>
          <cell r="P88">
            <v>128.9</v>
          </cell>
          <cell r="Q88">
            <v>3</v>
          </cell>
        </row>
        <row r="89">
          <cell r="C89" t="str">
            <v>不動産業，物品賃貸業</v>
          </cell>
          <cell r="F89">
            <v>16.7</v>
          </cell>
          <cell r="G89">
            <v>112.1</v>
          </cell>
          <cell r="H89">
            <v>109.9</v>
          </cell>
          <cell r="I89">
            <v>2.2000000000000002</v>
          </cell>
          <cell r="J89">
            <v>18.2</v>
          </cell>
          <cell r="K89">
            <v>126.5</v>
          </cell>
          <cell r="L89">
            <v>123.1</v>
          </cell>
          <cell r="M89">
            <v>3.4</v>
          </cell>
          <cell r="N89">
            <v>14.1</v>
          </cell>
          <cell r="O89">
            <v>88.1</v>
          </cell>
          <cell r="P89">
            <v>87.8</v>
          </cell>
          <cell r="Q89">
            <v>0.3</v>
          </cell>
        </row>
        <row r="90">
          <cell r="C90" t="str">
            <v>学術研究，専門・技術サービス業</v>
          </cell>
          <cell r="F90">
            <v>19.399999999999999</v>
          </cell>
          <cell r="G90">
            <v>155.1</v>
          </cell>
          <cell r="H90">
            <v>148.1</v>
          </cell>
          <cell r="I90">
            <v>7</v>
          </cell>
          <cell r="J90">
            <v>19.2</v>
          </cell>
          <cell r="K90">
            <v>164.3</v>
          </cell>
          <cell r="L90">
            <v>157.1</v>
          </cell>
          <cell r="M90">
            <v>7.2</v>
          </cell>
          <cell r="N90">
            <v>19.7</v>
          </cell>
          <cell r="O90">
            <v>139</v>
          </cell>
          <cell r="P90">
            <v>132.4</v>
          </cell>
          <cell r="Q90">
            <v>6.6</v>
          </cell>
        </row>
        <row r="91">
          <cell r="C91" t="str">
            <v>宿泊業，飲食サービス業</v>
          </cell>
          <cell r="F91">
            <v>15.1</v>
          </cell>
          <cell r="G91">
            <v>87</v>
          </cell>
          <cell r="H91">
            <v>82.7</v>
          </cell>
          <cell r="I91">
            <v>4.3</v>
          </cell>
          <cell r="J91">
            <v>16.8</v>
          </cell>
          <cell r="K91">
            <v>104.4</v>
          </cell>
          <cell r="L91">
            <v>95.8</v>
          </cell>
          <cell r="M91">
            <v>8.6</v>
          </cell>
          <cell r="N91">
            <v>14</v>
          </cell>
          <cell r="O91">
            <v>76.2</v>
          </cell>
          <cell r="P91">
            <v>74.599999999999994</v>
          </cell>
          <cell r="Q91">
            <v>1.6</v>
          </cell>
        </row>
        <row r="92">
          <cell r="C92" t="str">
            <v>生活関連サービス業，娯楽業</v>
          </cell>
          <cell r="F92">
            <v>16.3</v>
          </cell>
          <cell r="G92">
            <v>131.4</v>
          </cell>
          <cell r="H92">
            <v>121.4</v>
          </cell>
          <cell r="I92">
            <v>10</v>
          </cell>
          <cell r="J92">
            <v>15.8</v>
          </cell>
          <cell r="K92">
            <v>128.4</v>
          </cell>
          <cell r="L92">
            <v>118.2</v>
          </cell>
          <cell r="M92">
            <v>10.199999999999999</v>
          </cell>
          <cell r="N92">
            <v>17.100000000000001</v>
          </cell>
          <cell r="O92">
            <v>136</v>
          </cell>
          <cell r="P92">
            <v>126.5</v>
          </cell>
          <cell r="Q92">
            <v>9.5</v>
          </cell>
        </row>
        <row r="93">
          <cell r="C93" t="str">
            <v>教育，学習支援業</v>
          </cell>
          <cell r="F93">
            <v>17.399999999999999</v>
          </cell>
          <cell r="G93">
            <v>148.69999999999999</v>
          </cell>
          <cell r="H93">
            <v>126.4</v>
          </cell>
          <cell r="I93">
            <v>22.3</v>
          </cell>
          <cell r="J93">
            <v>18</v>
          </cell>
          <cell r="K93">
            <v>161.6</v>
          </cell>
          <cell r="L93">
            <v>132.19999999999999</v>
          </cell>
          <cell r="M93">
            <v>29.4</v>
          </cell>
          <cell r="N93">
            <v>16.899999999999999</v>
          </cell>
          <cell r="O93">
            <v>138.30000000000001</v>
          </cell>
          <cell r="P93">
            <v>121.7</v>
          </cell>
          <cell r="Q93">
            <v>16.600000000000001</v>
          </cell>
        </row>
        <row r="94">
          <cell r="C94" t="str">
            <v>医療，福祉</v>
          </cell>
          <cell r="F94">
            <v>18.899999999999999</v>
          </cell>
          <cell r="G94">
            <v>142.9</v>
          </cell>
          <cell r="H94">
            <v>138.1</v>
          </cell>
          <cell r="I94">
            <v>4.8</v>
          </cell>
          <cell r="J94">
            <v>19.8</v>
          </cell>
          <cell r="K94">
            <v>151</v>
          </cell>
          <cell r="L94">
            <v>146.6</v>
          </cell>
          <cell r="M94">
            <v>4.4000000000000004</v>
          </cell>
          <cell r="N94">
            <v>18.7</v>
          </cell>
          <cell r="O94">
            <v>140.4</v>
          </cell>
          <cell r="P94">
            <v>135.5</v>
          </cell>
          <cell r="Q94">
            <v>4.9000000000000004</v>
          </cell>
        </row>
        <row r="95">
          <cell r="C95" t="str">
            <v>複合サービス事業</v>
          </cell>
          <cell r="F95">
            <v>19.100000000000001</v>
          </cell>
          <cell r="G95">
            <v>152.80000000000001</v>
          </cell>
          <cell r="H95">
            <v>148.19999999999999</v>
          </cell>
          <cell r="I95">
            <v>4.5999999999999996</v>
          </cell>
          <cell r="J95">
            <v>19.3</v>
          </cell>
          <cell r="K95">
            <v>157.4</v>
          </cell>
          <cell r="L95">
            <v>152.1</v>
          </cell>
          <cell r="M95">
            <v>5.3</v>
          </cell>
          <cell r="N95">
            <v>18.899999999999999</v>
          </cell>
          <cell r="O95">
            <v>144.5</v>
          </cell>
          <cell r="P95">
            <v>141.19999999999999</v>
          </cell>
          <cell r="Q95">
            <v>3.3</v>
          </cell>
        </row>
        <row r="96">
          <cell r="C96" t="str">
            <v>サービス業（他に分類されないもの）</v>
          </cell>
          <cell r="F96">
            <v>18.899999999999999</v>
          </cell>
          <cell r="G96">
            <v>140.30000000000001</v>
          </cell>
          <cell r="H96">
            <v>133.4</v>
          </cell>
          <cell r="I96">
            <v>6.9</v>
          </cell>
          <cell r="J96">
            <v>19.399999999999999</v>
          </cell>
          <cell r="K96">
            <v>153</v>
          </cell>
          <cell r="L96">
            <v>143.5</v>
          </cell>
          <cell r="M96">
            <v>9.5</v>
          </cell>
          <cell r="N96">
            <v>18.3</v>
          </cell>
          <cell r="O96">
            <v>125.3</v>
          </cell>
          <cell r="P96">
            <v>121.5</v>
          </cell>
          <cell r="Q96">
            <v>3.8</v>
          </cell>
        </row>
        <row r="97">
          <cell r="C97" t="str">
            <v>食料品・たばこ</v>
          </cell>
          <cell r="F97">
            <v>18.7</v>
          </cell>
          <cell r="G97">
            <v>145.4</v>
          </cell>
          <cell r="H97">
            <v>135.4</v>
          </cell>
          <cell r="I97">
            <v>10</v>
          </cell>
          <cell r="J97">
            <v>19.399999999999999</v>
          </cell>
          <cell r="K97">
            <v>162.1</v>
          </cell>
          <cell r="L97">
            <v>147.19999999999999</v>
          </cell>
          <cell r="M97">
            <v>14.9</v>
          </cell>
          <cell r="N97">
            <v>18.3</v>
          </cell>
          <cell r="O97">
            <v>135.5</v>
          </cell>
          <cell r="P97">
            <v>128.30000000000001</v>
          </cell>
          <cell r="Q97">
            <v>7.2</v>
          </cell>
        </row>
        <row r="98">
          <cell r="C98" t="str">
            <v>繊維工業</v>
          </cell>
          <cell r="F98">
            <v>20</v>
          </cell>
          <cell r="G98">
            <v>161.19999999999999</v>
          </cell>
          <cell r="H98">
            <v>149.1</v>
          </cell>
          <cell r="I98">
            <v>12.1</v>
          </cell>
          <cell r="J98">
            <v>20</v>
          </cell>
          <cell r="K98">
            <v>162.69999999999999</v>
          </cell>
          <cell r="L98">
            <v>148.1</v>
          </cell>
          <cell r="M98">
            <v>14.6</v>
          </cell>
          <cell r="N98">
            <v>19.899999999999999</v>
          </cell>
          <cell r="O98">
            <v>160.4</v>
          </cell>
          <cell r="P98">
            <v>149.80000000000001</v>
          </cell>
          <cell r="Q98">
            <v>10.6</v>
          </cell>
        </row>
        <row r="99">
          <cell r="C99" t="str">
            <v>木材・木製品</v>
          </cell>
          <cell r="F99">
            <v>18.899999999999999</v>
          </cell>
          <cell r="G99">
            <v>150.69999999999999</v>
          </cell>
          <cell r="H99">
            <v>142.5</v>
          </cell>
          <cell r="I99">
            <v>8.1999999999999993</v>
          </cell>
          <cell r="J99">
            <v>19.2</v>
          </cell>
          <cell r="K99">
            <v>157.19999999999999</v>
          </cell>
          <cell r="L99">
            <v>147.4</v>
          </cell>
          <cell r="M99">
            <v>9.8000000000000007</v>
          </cell>
          <cell r="N99">
            <v>18</v>
          </cell>
          <cell r="O99">
            <v>131.6</v>
          </cell>
          <cell r="P99">
            <v>128.1</v>
          </cell>
          <cell r="Q99">
            <v>3.5</v>
          </cell>
        </row>
        <row r="100">
          <cell r="C100" t="str">
            <v>家具・装備品</v>
          </cell>
          <cell r="F100" t="str">
            <v>#20.9</v>
          </cell>
          <cell r="G100" t="str">
            <v>#156.2</v>
          </cell>
          <cell r="H100" t="str">
            <v>#156.2</v>
          </cell>
          <cell r="I100" t="str">
            <v>#0</v>
          </cell>
          <cell r="J100" t="str">
            <v>#20.8</v>
          </cell>
          <cell r="K100" t="str">
            <v>#160.7</v>
          </cell>
          <cell r="L100" t="str">
            <v>#160.7</v>
          </cell>
          <cell r="M100" t="str">
            <v>#0</v>
          </cell>
          <cell r="N100" t="str">
            <v>#21.1</v>
          </cell>
          <cell r="O100" t="str">
            <v>#145.7</v>
          </cell>
          <cell r="P100" t="str">
            <v>#145.7</v>
          </cell>
          <cell r="Q100" t="str">
            <v>#0</v>
          </cell>
        </row>
        <row r="101">
          <cell r="C101" t="str">
            <v>パルプ・紙</v>
          </cell>
          <cell r="F101">
            <v>21</v>
          </cell>
          <cell r="G101">
            <v>162.80000000000001</v>
          </cell>
          <cell r="H101">
            <v>157.1</v>
          </cell>
          <cell r="I101">
            <v>5.7</v>
          </cell>
          <cell r="J101">
            <v>21.3</v>
          </cell>
          <cell r="K101">
            <v>166.7</v>
          </cell>
          <cell r="L101">
            <v>159</v>
          </cell>
          <cell r="M101">
            <v>7.7</v>
          </cell>
          <cell r="N101">
            <v>20.2</v>
          </cell>
          <cell r="O101">
            <v>153.5</v>
          </cell>
          <cell r="P101">
            <v>152.4</v>
          </cell>
          <cell r="Q101">
            <v>1.1000000000000001</v>
          </cell>
        </row>
        <row r="102">
          <cell r="C102" t="str">
            <v>印刷・同関連業</v>
          </cell>
          <cell r="F102">
            <v>19.399999999999999</v>
          </cell>
          <cell r="G102">
            <v>154.30000000000001</v>
          </cell>
          <cell r="H102">
            <v>148.5</v>
          </cell>
          <cell r="I102">
            <v>5.8</v>
          </cell>
          <cell r="J102">
            <v>19.7</v>
          </cell>
          <cell r="K102">
            <v>154.30000000000001</v>
          </cell>
          <cell r="L102">
            <v>147.19999999999999</v>
          </cell>
          <cell r="M102">
            <v>7.1</v>
          </cell>
          <cell r="N102">
            <v>18.7</v>
          </cell>
          <cell r="O102">
            <v>154.4</v>
          </cell>
          <cell r="P102">
            <v>151.4</v>
          </cell>
          <cell r="Q102">
            <v>3</v>
          </cell>
        </row>
        <row r="103">
          <cell r="C103" t="str">
            <v>化学、石油・石炭</v>
          </cell>
          <cell r="F103">
            <v>20</v>
          </cell>
          <cell r="G103">
            <v>164.9</v>
          </cell>
          <cell r="H103">
            <v>143.9</v>
          </cell>
          <cell r="I103">
            <v>21</v>
          </cell>
          <cell r="J103">
            <v>20</v>
          </cell>
          <cell r="K103">
            <v>165.9</v>
          </cell>
          <cell r="L103">
            <v>143.5</v>
          </cell>
          <cell r="M103">
            <v>22.4</v>
          </cell>
          <cell r="N103">
            <v>19.8</v>
          </cell>
          <cell r="O103">
            <v>153.69999999999999</v>
          </cell>
          <cell r="P103">
            <v>148.19999999999999</v>
          </cell>
          <cell r="Q103">
            <v>5.5</v>
          </cell>
        </row>
        <row r="104">
          <cell r="C104" t="str">
            <v>プラスチック製品</v>
          </cell>
          <cell r="F104">
            <v>19.899999999999999</v>
          </cell>
          <cell r="G104">
            <v>158.19999999999999</v>
          </cell>
          <cell r="H104">
            <v>147.4</v>
          </cell>
          <cell r="I104">
            <v>10.8</v>
          </cell>
          <cell r="J104">
            <v>20</v>
          </cell>
          <cell r="K104">
            <v>166.1</v>
          </cell>
          <cell r="L104">
            <v>152</v>
          </cell>
          <cell r="M104">
            <v>14.1</v>
          </cell>
          <cell r="N104">
            <v>19.7</v>
          </cell>
          <cell r="O104">
            <v>134.9</v>
          </cell>
          <cell r="P104">
            <v>133.80000000000001</v>
          </cell>
          <cell r="Q104">
            <v>1.1000000000000001</v>
          </cell>
        </row>
        <row r="105">
          <cell r="C105" t="str">
            <v>ゴム製品</v>
          </cell>
          <cell r="F105">
            <v>20.5</v>
          </cell>
          <cell r="G105">
            <v>171.5</v>
          </cell>
          <cell r="H105">
            <v>151</v>
          </cell>
          <cell r="I105">
            <v>20.5</v>
          </cell>
          <cell r="J105">
            <v>20.6</v>
          </cell>
          <cell r="K105">
            <v>173.1</v>
          </cell>
          <cell r="L105">
            <v>150.69999999999999</v>
          </cell>
          <cell r="M105">
            <v>22.4</v>
          </cell>
          <cell r="N105">
            <v>19.899999999999999</v>
          </cell>
          <cell r="O105">
            <v>161.19999999999999</v>
          </cell>
          <cell r="P105">
            <v>153.1</v>
          </cell>
          <cell r="Q105">
            <v>8.1</v>
          </cell>
        </row>
        <row r="106">
          <cell r="C106" t="str">
            <v>窯業・土石製品</v>
          </cell>
          <cell r="F106">
            <v>19.5</v>
          </cell>
          <cell r="G106">
            <v>161.4</v>
          </cell>
          <cell r="H106">
            <v>153.4</v>
          </cell>
          <cell r="I106">
            <v>8</v>
          </cell>
          <cell r="J106">
            <v>19.5</v>
          </cell>
          <cell r="K106">
            <v>164.6</v>
          </cell>
          <cell r="L106">
            <v>154.69999999999999</v>
          </cell>
          <cell r="M106">
            <v>9.9</v>
          </cell>
          <cell r="N106">
            <v>19.3</v>
          </cell>
          <cell r="O106">
            <v>150.6</v>
          </cell>
          <cell r="P106">
            <v>149</v>
          </cell>
          <cell r="Q106">
            <v>1.6</v>
          </cell>
        </row>
        <row r="107">
          <cell r="C107" t="str">
            <v>鉄鋼業</v>
          </cell>
          <cell r="F107" t="str">
            <v>#19.5</v>
          </cell>
          <cell r="G107" t="str">
            <v>#178.1</v>
          </cell>
          <cell r="H107" t="str">
            <v>#152.8</v>
          </cell>
          <cell r="I107" t="str">
            <v>#25.3</v>
          </cell>
          <cell r="J107" t="str">
            <v>#19.5</v>
          </cell>
          <cell r="K107" t="str">
            <v>#179</v>
          </cell>
          <cell r="L107" t="str">
            <v>#153.1</v>
          </cell>
          <cell r="M107" t="str">
            <v>#25.9</v>
          </cell>
          <cell r="N107" t="str">
            <v>#18.8</v>
          </cell>
          <cell r="O107" t="str">
            <v>#165.5</v>
          </cell>
          <cell r="P107" t="str">
            <v>#148.2</v>
          </cell>
          <cell r="Q107" t="str">
            <v>#17.3</v>
          </cell>
        </row>
        <row r="108">
          <cell r="C108" t="str">
            <v>非鉄金属製造業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  <cell r="Q108" t="str">
            <v>-</v>
          </cell>
        </row>
        <row r="109">
          <cell r="C109" t="str">
            <v>金属製品製造業</v>
          </cell>
          <cell r="F109">
            <v>20.2</v>
          </cell>
          <cell r="G109">
            <v>160.6</v>
          </cell>
          <cell r="H109">
            <v>149.9</v>
          </cell>
          <cell r="I109">
            <v>10.7</v>
          </cell>
          <cell r="J109">
            <v>20.100000000000001</v>
          </cell>
          <cell r="K109">
            <v>169.6</v>
          </cell>
          <cell r="L109">
            <v>155.1</v>
          </cell>
          <cell r="M109">
            <v>14.5</v>
          </cell>
          <cell r="N109">
            <v>20.3</v>
          </cell>
          <cell r="O109">
            <v>146</v>
          </cell>
          <cell r="P109">
            <v>141.6</v>
          </cell>
          <cell r="Q109">
            <v>4.4000000000000004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19.399999999999999</v>
          </cell>
          <cell r="G112">
            <v>160.80000000000001</v>
          </cell>
          <cell r="H112">
            <v>152</v>
          </cell>
          <cell r="I112">
            <v>8.8000000000000007</v>
          </cell>
          <cell r="J112">
            <v>20</v>
          </cell>
          <cell r="K112">
            <v>166.8</v>
          </cell>
          <cell r="L112">
            <v>155.19999999999999</v>
          </cell>
          <cell r="M112">
            <v>11.6</v>
          </cell>
          <cell r="N112">
            <v>18.8</v>
          </cell>
          <cell r="O112">
            <v>155.19999999999999</v>
          </cell>
          <cell r="P112">
            <v>149</v>
          </cell>
          <cell r="Q112">
            <v>6.2</v>
          </cell>
        </row>
        <row r="113">
          <cell r="C113" t="str">
            <v>電子・デバイス</v>
          </cell>
          <cell r="F113">
            <v>19</v>
          </cell>
          <cell r="G113">
            <v>160.1</v>
          </cell>
          <cell r="H113">
            <v>147.6</v>
          </cell>
          <cell r="I113">
            <v>12.5</v>
          </cell>
          <cell r="J113">
            <v>19</v>
          </cell>
          <cell r="K113">
            <v>166.4</v>
          </cell>
          <cell r="L113">
            <v>150.69999999999999</v>
          </cell>
          <cell r="M113">
            <v>15.7</v>
          </cell>
          <cell r="N113">
            <v>19</v>
          </cell>
          <cell r="O113">
            <v>147.9</v>
          </cell>
          <cell r="P113">
            <v>141.5</v>
          </cell>
          <cell r="Q113">
            <v>6.4</v>
          </cell>
        </row>
        <row r="114">
          <cell r="C114" t="str">
            <v>電気機械器具</v>
          </cell>
          <cell r="F114">
            <v>21.1</v>
          </cell>
          <cell r="G114">
            <v>170.6</v>
          </cell>
          <cell r="H114">
            <v>161.80000000000001</v>
          </cell>
          <cell r="I114">
            <v>8.8000000000000007</v>
          </cell>
          <cell r="J114">
            <v>21.4</v>
          </cell>
          <cell r="K114">
            <v>176.2</v>
          </cell>
          <cell r="L114">
            <v>164.8</v>
          </cell>
          <cell r="M114">
            <v>11.4</v>
          </cell>
          <cell r="N114">
            <v>20.399999999999999</v>
          </cell>
          <cell r="O114">
            <v>156.6</v>
          </cell>
          <cell r="P114">
            <v>154.5</v>
          </cell>
          <cell r="Q114">
            <v>2.1</v>
          </cell>
        </row>
        <row r="115">
          <cell r="C115" t="str">
            <v>情報通信機械器具</v>
          </cell>
          <cell r="F115">
            <v>18.5</v>
          </cell>
          <cell r="G115">
            <v>153.1</v>
          </cell>
          <cell r="H115">
            <v>146.5</v>
          </cell>
          <cell r="I115">
            <v>6.6</v>
          </cell>
          <cell r="J115">
            <v>18.5</v>
          </cell>
          <cell r="K115">
            <v>154.6</v>
          </cell>
          <cell r="L115">
            <v>146.5</v>
          </cell>
          <cell r="M115">
            <v>8.1</v>
          </cell>
          <cell r="N115">
            <v>18.600000000000001</v>
          </cell>
          <cell r="O115">
            <v>151.5</v>
          </cell>
          <cell r="P115">
            <v>146.5</v>
          </cell>
          <cell r="Q115">
            <v>5</v>
          </cell>
        </row>
        <row r="116">
          <cell r="C116" t="str">
            <v>輸送用機械器具</v>
          </cell>
          <cell r="F116">
            <v>18.899999999999999</v>
          </cell>
          <cell r="G116">
            <v>173.5</v>
          </cell>
          <cell r="H116">
            <v>151.80000000000001</v>
          </cell>
          <cell r="I116">
            <v>21.7</v>
          </cell>
          <cell r="J116">
            <v>19</v>
          </cell>
          <cell r="K116">
            <v>178.1</v>
          </cell>
          <cell r="L116">
            <v>154.5</v>
          </cell>
          <cell r="M116">
            <v>23.6</v>
          </cell>
          <cell r="N116">
            <v>18.600000000000001</v>
          </cell>
          <cell r="O116">
            <v>156.5</v>
          </cell>
          <cell r="P116">
            <v>141.80000000000001</v>
          </cell>
          <cell r="Q116">
            <v>14.7</v>
          </cell>
        </row>
        <row r="117">
          <cell r="C117" t="str">
            <v>その他の製造業</v>
          </cell>
          <cell r="F117">
            <v>20.9</v>
          </cell>
          <cell r="G117">
            <v>179</v>
          </cell>
          <cell r="H117">
            <v>153.69999999999999</v>
          </cell>
          <cell r="I117">
            <v>25.3</v>
          </cell>
          <cell r="J117">
            <v>21.4</v>
          </cell>
          <cell r="K117">
            <v>189.7</v>
          </cell>
          <cell r="L117">
            <v>158.30000000000001</v>
          </cell>
          <cell r="M117">
            <v>31.4</v>
          </cell>
          <cell r="N117">
            <v>19.100000000000001</v>
          </cell>
          <cell r="O117">
            <v>139.9</v>
          </cell>
          <cell r="P117">
            <v>136.80000000000001</v>
          </cell>
          <cell r="Q117">
            <v>3.1</v>
          </cell>
        </row>
        <row r="118">
          <cell r="C118" t="str">
            <v>Ｅ一括分１</v>
          </cell>
          <cell r="F118">
            <v>21</v>
          </cell>
          <cell r="G118">
            <v>178.7</v>
          </cell>
          <cell r="H118">
            <v>159</v>
          </cell>
          <cell r="I118">
            <v>19.7</v>
          </cell>
          <cell r="J118">
            <v>21.7</v>
          </cell>
          <cell r="K118">
            <v>188.7</v>
          </cell>
          <cell r="L118">
            <v>162</v>
          </cell>
          <cell r="M118">
            <v>26.7</v>
          </cell>
          <cell r="N118">
            <v>19.399999999999999</v>
          </cell>
          <cell r="O118">
            <v>156.1</v>
          </cell>
          <cell r="P118">
            <v>152.30000000000001</v>
          </cell>
          <cell r="Q118">
            <v>3.8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21.4</v>
          </cell>
          <cell r="G121">
            <v>179.3</v>
          </cell>
          <cell r="H121">
            <v>167.5</v>
          </cell>
          <cell r="I121">
            <v>11.8</v>
          </cell>
          <cell r="J121">
            <v>22</v>
          </cell>
          <cell r="K121">
            <v>189.5</v>
          </cell>
          <cell r="L121">
            <v>175.3</v>
          </cell>
          <cell r="M121">
            <v>14.2</v>
          </cell>
          <cell r="N121">
            <v>19.5</v>
          </cell>
          <cell r="O121">
            <v>143.69999999999999</v>
          </cell>
          <cell r="P121">
            <v>140.4</v>
          </cell>
          <cell r="Q121">
            <v>3.3</v>
          </cell>
        </row>
        <row r="122">
          <cell r="C122" t="str">
            <v>小売業</v>
          </cell>
          <cell r="F122">
            <v>17.3</v>
          </cell>
          <cell r="G122">
            <v>121.7</v>
          </cell>
          <cell r="H122">
            <v>114.1</v>
          </cell>
          <cell r="I122">
            <v>7.6</v>
          </cell>
          <cell r="J122">
            <v>17.600000000000001</v>
          </cell>
          <cell r="K122">
            <v>137.69999999999999</v>
          </cell>
          <cell r="L122">
            <v>125.1</v>
          </cell>
          <cell r="M122">
            <v>12.6</v>
          </cell>
          <cell r="N122">
            <v>17</v>
          </cell>
          <cell r="O122">
            <v>108.7</v>
          </cell>
          <cell r="P122">
            <v>105.2</v>
          </cell>
          <cell r="Q122">
            <v>3.5</v>
          </cell>
        </row>
        <row r="123">
          <cell r="C123" t="str">
            <v>宿泊業</v>
          </cell>
          <cell r="F123">
            <v>16.399999999999999</v>
          </cell>
          <cell r="G123">
            <v>114.8</v>
          </cell>
          <cell r="H123">
            <v>107</v>
          </cell>
          <cell r="I123">
            <v>7.8</v>
          </cell>
          <cell r="J123">
            <v>17.100000000000001</v>
          </cell>
          <cell r="K123">
            <v>135.30000000000001</v>
          </cell>
          <cell r="L123">
            <v>123.1</v>
          </cell>
          <cell r="M123">
            <v>12.2</v>
          </cell>
          <cell r="N123">
            <v>16</v>
          </cell>
          <cell r="O123">
            <v>101.1</v>
          </cell>
          <cell r="P123">
            <v>96.2</v>
          </cell>
          <cell r="Q123">
            <v>4.9000000000000004</v>
          </cell>
        </row>
        <row r="124">
          <cell r="C124" t="str">
            <v>Ｍ一括分</v>
          </cell>
          <cell r="F124">
            <v>14.8</v>
          </cell>
          <cell r="G124">
            <v>80.7</v>
          </cell>
          <cell r="H124">
            <v>77.2</v>
          </cell>
          <cell r="I124">
            <v>3.5</v>
          </cell>
          <cell r="J124">
            <v>16.8</v>
          </cell>
          <cell r="K124">
            <v>96.8</v>
          </cell>
          <cell r="L124">
            <v>89.1</v>
          </cell>
          <cell r="M124">
            <v>7.7</v>
          </cell>
          <cell r="N124">
            <v>13.6</v>
          </cell>
          <cell r="O124">
            <v>70.599999999999994</v>
          </cell>
          <cell r="P124">
            <v>69.8</v>
          </cell>
          <cell r="Q124">
            <v>0.8</v>
          </cell>
        </row>
        <row r="125">
          <cell r="C125" t="str">
            <v>医療業</v>
          </cell>
          <cell r="F125">
            <v>19.5</v>
          </cell>
          <cell r="G125">
            <v>143.19999999999999</v>
          </cell>
          <cell r="H125">
            <v>138.30000000000001</v>
          </cell>
          <cell r="I125">
            <v>4.9000000000000004</v>
          </cell>
          <cell r="J125">
            <v>19.899999999999999</v>
          </cell>
          <cell r="K125">
            <v>152.80000000000001</v>
          </cell>
          <cell r="L125">
            <v>147.69999999999999</v>
          </cell>
          <cell r="M125">
            <v>5.0999999999999996</v>
          </cell>
          <cell r="N125">
            <v>19.399999999999999</v>
          </cell>
          <cell r="O125">
            <v>140.6</v>
          </cell>
          <cell r="P125">
            <v>135.80000000000001</v>
          </cell>
          <cell r="Q125">
            <v>4.8</v>
          </cell>
        </row>
        <row r="126">
          <cell r="C126" t="str">
            <v>Ｐ一括分</v>
          </cell>
          <cell r="F126">
            <v>18.399999999999999</v>
          </cell>
          <cell r="G126">
            <v>142.6</v>
          </cell>
          <cell r="H126">
            <v>137.9</v>
          </cell>
          <cell r="I126">
            <v>4.7</v>
          </cell>
          <cell r="J126">
            <v>19.7</v>
          </cell>
          <cell r="K126">
            <v>149.69999999999999</v>
          </cell>
          <cell r="L126">
            <v>145.80000000000001</v>
          </cell>
          <cell r="M126">
            <v>3.9</v>
          </cell>
          <cell r="N126">
            <v>18</v>
          </cell>
          <cell r="O126">
            <v>140.19999999999999</v>
          </cell>
          <cell r="P126">
            <v>135.30000000000001</v>
          </cell>
          <cell r="Q126">
            <v>4.9000000000000004</v>
          </cell>
        </row>
        <row r="127">
          <cell r="C127" t="str">
            <v>職業紹介・派遣業</v>
          </cell>
          <cell r="F127">
            <v>18.2</v>
          </cell>
          <cell r="G127">
            <v>147.4</v>
          </cell>
          <cell r="H127">
            <v>138.69999999999999</v>
          </cell>
          <cell r="I127">
            <v>8.6999999999999993</v>
          </cell>
          <cell r="J127">
            <v>18.5</v>
          </cell>
          <cell r="K127">
            <v>161.69999999999999</v>
          </cell>
          <cell r="L127">
            <v>148.1</v>
          </cell>
          <cell r="M127">
            <v>13.6</v>
          </cell>
          <cell r="N127">
            <v>17.8</v>
          </cell>
          <cell r="O127">
            <v>135.80000000000001</v>
          </cell>
          <cell r="P127">
            <v>131.1</v>
          </cell>
          <cell r="Q127">
            <v>4.7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19</v>
          </cell>
          <cell r="G129">
            <v>139.1</v>
          </cell>
          <cell r="H129">
            <v>132.5</v>
          </cell>
          <cell r="I129">
            <v>6.6</v>
          </cell>
          <cell r="J129">
            <v>19.5</v>
          </cell>
          <cell r="K129">
            <v>151.80000000000001</v>
          </cell>
          <cell r="L129">
            <v>142.80000000000001</v>
          </cell>
          <cell r="M129">
            <v>9</v>
          </cell>
          <cell r="N129">
            <v>18.399999999999999</v>
          </cell>
          <cell r="O129">
            <v>123</v>
          </cell>
          <cell r="P129">
            <v>119.4</v>
          </cell>
          <cell r="Q129">
            <v>3.6</v>
          </cell>
        </row>
        <row r="130">
          <cell r="C130" t="str">
            <v>特掲産業１</v>
          </cell>
          <cell r="F130" t="str">
            <v>#13.2</v>
          </cell>
          <cell r="G130" t="str">
            <v>#105.7</v>
          </cell>
          <cell r="H130" t="str">
            <v>#101.4</v>
          </cell>
          <cell r="I130" t="str">
            <v>#4.3</v>
          </cell>
          <cell r="J130" t="str">
            <v>#13.4</v>
          </cell>
          <cell r="K130" t="str">
            <v>#110.3</v>
          </cell>
          <cell r="L130" t="str">
            <v>#105.4</v>
          </cell>
          <cell r="M130" t="str">
            <v>#4.9</v>
          </cell>
          <cell r="N130" t="str">
            <v>#12.6</v>
          </cell>
          <cell r="O130" t="str">
            <v>#95</v>
          </cell>
          <cell r="P130" t="str">
            <v>#92</v>
          </cell>
          <cell r="Q130" t="str">
            <v>#3</v>
          </cell>
        </row>
        <row r="131">
          <cell r="C131" t="str">
            <v>特掲産業２</v>
          </cell>
          <cell r="F131">
            <v>21.8</v>
          </cell>
          <cell r="G131">
            <v>149.6</v>
          </cell>
          <cell r="H131">
            <v>147.9</v>
          </cell>
          <cell r="I131">
            <v>1.7</v>
          </cell>
          <cell r="J131">
            <v>22.3</v>
          </cell>
          <cell r="K131">
            <v>152.9</v>
          </cell>
          <cell r="L131">
            <v>150.9</v>
          </cell>
          <cell r="M131">
            <v>2</v>
          </cell>
          <cell r="N131">
            <v>20.399999999999999</v>
          </cell>
          <cell r="O131">
            <v>140.9</v>
          </cell>
          <cell r="P131">
            <v>140.19999999999999</v>
          </cell>
          <cell r="Q131">
            <v>0.7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-0.4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>
        <row r="9">
          <cell r="E9">
            <v>288938</v>
          </cell>
        </row>
      </sheetData>
      <sheetData sheetId="17">
        <row r="9">
          <cell r="E9">
            <v>18.600000000000001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8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15231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18.100000000000001</v>
          </cell>
          <cell r="G10">
            <v>140</v>
          </cell>
          <cell r="H10">
            <v>130.30000000000001</v>
          </cell>
          <cell r="I10">
            <v>9.6999999999999993</v>
          </cell>
          <cell r="J10">
            <v>18.600000000000001</v>
          </cell>
          <cell r="K10">
            <v>152.5</v>
          </cell>
          <cell r="L10">
            <v>138.6</v>
          </cell>
          <cell r="M10">
            <v>13.9</v>
          </cell>
          <cell r="N10">
            <v>17.600000000000001</v>
          </cell>
          <cell r="O10">
            <v>127.6</v>
          </cell>
          <cell r="P10">
            <v>122.2</v>
          </cell>
          <cell r="Q10">
            <v>5.4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19.899999999999999</v>
          </cell>
          <cell r="G12">
            <v>157.9</v>
          </cell>
          <cell r="H12">
            <v>148.19999999999999</v>
          </cell>
          <cell r="I12">
            <v>9.6999999999999993</v>
          </cell>
          <cell r="J12">
            <v>20</v>
          </cell>
          <cell r="K12">
            <v>157.5</v>
          </cell>
          <cell r="L12">
            <v>146.5</v>
          </cell>
          <cell r="M12">
            <v>11</v>
          </cell>
          <cell r="N12">
            <v>19.5</v>
          </cell>
          <cell r="O12">
            <v>159.30000000000001</v>
          </cell>
          <cell r="P12">
            <v>154.80000000000001</v>
          </cell>
          <cell r="Q12">
            <v>4.5</v>
          </cell>
        </row>
        <row r="13">
          <cell r="C13" t="str">
            <v>製造業</v>
          </cell>
          <cell r="F13">
            <v>18.399999999999999</v>
          </cell>
          <cell r="G13">
            <v>150.80000000000001</v>
          </cell>
          <cell r="H13">
            <v>138</v>
          </cell>
          <cell r="I13">
            <v>12.8</v>
          </cell>
          <cell r="J13">
            <v>18.5</v>
          </cell>
          <cell r="K13">
            <v>156.9</v>
          </cell>
          <cell r="L13">
            <v>141.4</v>
          </cell>
          <cell r="M13">
            <v>15.5</v>
          </cell>
          <cell r="N13">
            <v>18.100000000000001</v>
          </cell>
          <cell r="O13">
            <v>140.69999999999999</v>
          </cell>
          <cell r="P13">
            <v>132.30000000000001</v>
          </cell>
          <cell r="Q13">
            <v>8.4</v>
          </cell>
        </row>
        <row r="14">
          <cell r="C14" t="str">
            <v>電気・ガス・熱供給・水道業</v>
          </cell>
          <cell r="F14">
            <v>20.2</v>
          </cell>
          <cell r="G14">
            <v>178.1</v>
          </cell>
          <cell r="H14">
            <v>146.30000000000001</v>
          </cell>
          <cell r="I14">
            <v>31.8</v>
          </cell>
          <cell r="J14">
            <v>20.3</v>
          </cell>
          <cell r="K14">
            <v>184.5</v>
          </cell>
          <cell r="L14">
            <v>148.4</v>
          </cell>
          <cell r="M14">
            <v>36.1</v>
          </cell>
          <cell r="N14">
            <v>19.600000000000001</v>
          </cell>
          <cell r="O14">
            <v>139.30000000000001</v>
          </cell>
          <cell r="P14">
            <v>133.5</v>
          </cell>
          <cell r="Q14">
            <v>5.8</v>
          </cell>
        </row>
        <row r="15">
          <cell r="C15" t="str">
            <v>情報通信業</v>
          </cell>
          <cell r="F15">
            <v>18.8</v>
          </cell>
          <cell r="G15">
            <v>155.69999999999999</v>
          </cell>
          <cell r="H15">
            <v>143.1</v>
          </cell>
          <cell r="I15">
            <v>12.6</v>
          </cell>
          <cell r="J15">
            <v>18.7</v>
          </cell>
          <cell r="K15">
            <v>155.69999999999999</v>
          </cell>
          <cell r="L15">
            <v>143</v>
          </cell>
          <cell r="M15">
            <v>12.7</v>
          </cell>
          <cell r="N15">
            <v>19</v>
          </cell>
          <cell r="O15">
            <v>155.6</v>
          </cell>
          <cell r="P15">
            <v>143.30000000000001</v>
          </cell>
          <cell r="Q15">
            <v>12.3</v>
          </cell>
        </row>
        <row r="16">
          <cell r="C16" t="str">
            <v>運輸業，郵便業</v>
          </cell>
          <cell r="F16">
            <v>19.2</v>
          </cell>
          <cell r="G16">
            <v>160.6</v>
          </cell>
          <cell r="H16">
            <v>138.9</v>
          </cell>
          <cell r="I16">
            <v>21.7</v>
          </cell>
          <cell r="J16">
            <v>19.399999999999999</v>
          </cell>
          <cell r="K16">
            <v>165.1</v>
          </cell>
          <cell r="L16">
            <v>140.80000000000001</v>
          </cell>
          <cell r="M16">
            <v>24.3</v>
          </cell>
          <cell r="N16">
            <v>17.8</v>
          </cell>
          <cell r="O16">
            <v>135.1</v>
          </cell>
          <cell r="P16">
            <v>127.8</v>
          </cell>
          <cell r="Q16">
            <v>7.3</v>
          </cell>
        </row>
        <row r="17">
          <cell r="C17" t="str">
            <v>卸売業，小売業</v>
          </cell>
          <cell r="F17">
            <v>18.2</v>
          </cell>
          <cell r="G17">
            <v>127.8</v>
          </cell>
          <cell r="H17">
            <v>119.7</v>
          </cell>
          <cell r="I17">
            <v>8.1</v>
          </cell>
          <cell r="J17">
            <v>19.600000000000001</v>
          </cell>
          <cell r="K17">
            <v>152.9</v>
          </cell>
          <cell r="L17">
            <v>139.4</v>
          </cell>
          <cell r="M17">
            <v>13.5</v>
          </cell>
          <cell r="N17">
            <v>17.3</v>
          </cell>
          <cell r="O17">
            <v>110.3</v>
          </cell>
          <cell r="P17">
            <v>105.9</v>
          </cell>
          <cell r="Q17">
            <v>4.4000000000000004</v>
          </cell>
        </row>
        <row r="18">
          <cell r="C18" t="str">
            <v>金融業，保険業</v>
          </cell>
          <cell r="F18" t="str">
            <v>#20.3</v>
          </cell>
          <cell r="G18" t="str">
            <v>#149.1</v>
          </cell>
          <cell r="H18" t="str">
            <v>#142.5</v>
          </cell>
          <cell r="I18" t="str">
            <v>#6.6</v>
          </cell>
          <cell r="J18" t="str">
            <v>#20.5</v>
          </cell>
          <cell r="K18" t="str">
            <v>#150.3</v>
          </cell>
          <cell r="L18" t="str">
            <v>#143.2</v>
          </cell>
          <cell r="M18" t="str">
            <v>#7.1</v>
          </cell>
          <cell r="N18" t="str">
            <v>#19.6</v>
          </cell>
          <cell r="O18" t="str">
            <v>#144.3</v>
          </cell>
          <cell r="P18" t="str">
            <v>#139.9</v>
          </cell>
          <cell r="Q18" t="str">
            <v>#4.4</v>
          </cell>
        </row>
        <row r="19">
          <cell r="C19" t="str">
            <v>不動産業，物品賃貸業</v>
          </cell>
          <cell r="F19">
            <v>19.899999999999999</v>
          </cell>
          <cell r="G19">
            <v>157.19999999999999</v>
          </cell>
          <cell r="H19">
            <v>150.80000000000001</v>
          </cell>
          <cell r="I19">
            <v>6.4</v>
          </cell>
          <cell r="J19">
            <v>20.8</v>
          </cell>
          <cell r="K19">
            <v>172.1</v>
          </cell>
          <cell r="L19">
            <v>162.6</v>
          </cell>
          <cell r="M19">
            <v>9.5</v>
          </cell>
          <cell r="N19">
            <v>18.3</v>
          </cell>
          <cell r="O19">
            <v>130.6</v>
          </cell>
          <cell r="P19">
            <v>129.69999999999999</v>
          </cell>
          <cell r="Q19">
            <v>0.9</v>
          </cell>
        </row>
        <row r="20">
          <cell r="C20" t="str">
            <v>学術研究，専門・技術サービス業</v>
          </cell>
          <cell r="F20">
            <v>18.2</v>
          </cell>
          <cell r="G20">
            <v>143.19999999999999</v>
          </cell>
          <cell r="H20">
            <v>135.1</v>
          </cell>
          <cell r="I20">
            <v>8.1</v>
          </cell>
          <cell r="J20">
            <v>18.399999999999999</v>
          </cell>
          <cell r="K20">
            <v>145.6</v>
          </cell>
          <cell r="L20">
            <v>136.19999999999999</v>
          </cell>
          <cell r="M20">
            <v>9.4</v>
          </cell>
          <cell r="N20">
            <v>17.399999999999999</v>
          </cell>
          <cell r="O20">
            <v>133.1</v>
          </cell>
          <cell r="P20">
            <v>130.6</v>
          </cell>
          <cell r="Q20">
            <v>2.5</v>
          </cell>
        </row>
        <row r="21">
          <cell r="C21" t="str">
            <v>宿泊業，飲食サービス業</v>
          </cell>
          <cell r="F21">
            <v>15.5</v>
          </cell>
          <cell r="G21">
            <v>99.7</v>
          </cell>
          <cell r="H21">
            <v>94.5</v>
          </cell>
          <cell r="I21">
            <v>5.2</v>
          </cell>
          <cell r="J21">
            <v>16.399999999999999</v>
          </cell>
          <cell r="K21">
            <v>111.2</v>
          </cell>
          <cell r="L21">
            <v>103.2</v>
          </cell>
          <cell r="M21">
            <v>8</v>
          </cell>
          <cell r="N21">
            <v>15.1</v>
          </cell>
          <cell r="O21">
            <v>93.3</v>
          </cell>
          <cell r="P21">
            <v>89.7</v>
          </cell>
          <cell r="Q21">
            <v>3.6</v>
          </cell>
        </row>
        <row r="22">
          <cell r="C22" t="str">
            <v>生活関連サービス業，娯楽業</v>
          </cell>
          <cell r="F22">
            <v>15.8</v>
          </cell>
          <cell r="G22">
            <v>138.30000000000001</v>
          </cell>
          <cell r="H22">
            <v>128.9</v>
          </cell>
          <cell r="I22">
            <v>9.4</v>
          </cell>
          <cell r="J22">
            <v>15.7</v>
          </cell>
          <cell r="K22">
            <v>140.5</v>
          </cell>
          <cell r="L22">
            <v>129.9</v>
          </cell>
          <cell r="M22">
            <v>10.6</v>
          </cell>
          <cell r="N22">
            <v>15.9</v>
          </cell>
          <cell r="O22">
            <v>134.6</v>
          </cell>
          <cell r="P22">
            <v>127.1</v>
          </cell>
          <cell r="Q22">
            <v>7.5</v>
          </cell>
        </row>
        <row r="23">
          <cell r="C23" t="str">
            <v>教育，学習支援業</v>
          </cell>
          <cell r="F23">
            <v>13.2</v>
          </cell>
          <cell r="G23">
            <v>113.1</v>
          </cell>
          <cell r="H23">
            <v>99.1</v>
          </cell>
          <cell r="I23">
            <v>14</v>
          </cell>
          <cell r="J23">
            <v>14.6</v>
          </cell>
          <cell r="K23">
            <v>129.19999999999999</v>
          </cell>
          <cell r="L23">
            <v>110.6</v>
          </cell>
          <cell r="M23">
            <v>18.600000000000001</v>
          </cell>
          <cell r="N23">
            <v>12</v>
          </cell>
          <cell r="O23">
            <v>98</v>
          </cell>
          <cell r="P23">
            <v>88.3</v>
          </cell>
          <cell r="Q23">
            <v>9.6999999999999993</v>
          </cell>
        </row>
        <row r="24">
          <cell r="C24" t="str">
            <v>医療，福祉</v>
          </cell>
          <cell r="F24">
            <v>19.2</v>
          </cell>
          <cell r="G24">
            <v>142.1</v>
          </cell>
          <cell r="H24">
            <v>137.6</v>
          </cell>
          <cell r="I24">
            <v>4.5</v>
          </cell>
          <cell r="J24">
            <v>19.8</v>
          </cell>
          <cell r="K24">
            <v>152.9</v>
          </cell>
          <cell r="L24">
            <v>147</v>
          </cell>
          <cell r="M24">
            <v>5.9</v>
          </cell>
          <cell r="N24">
            <v>18.899999999999999</v>
          </cell>
          <cell r="O24">
            <v>138.4</v>
          </cell>
          <cell r="P24">
            <v>134.4</v>
          </cell>
          <cell r="Q24">
            <v>4</v>
          </cell>
        </row>
        <row r="25">
          <cell r="C25" t="str">
            <v>複合サービス事業</v>
          </cell>
          <cell r="F25">
            <v>19.3</v>
          </cell>
          <cell r="G25">
            <v>148.9</v>
          </cell>
          <cell r="H25">
            <v>144.30000000000001</v>
          </cell>
          <cell r="I25">
            <v>4.5999999999999996</v>
          </cell>
          <cell r="J25">
            <v>19.8</v>
          </cell>
          <cell r="K25">
            <v>156</v>
          </cell>
          <cell r="L25">
            <v>151.1</v>
          </cell>
          <cell r="M25">
            <v>4.9000000000000004</v>
          </cell>
          <cell r="N25">
            <v>18.399999999999999</v>
          </cell>
          <cell r="O25">
            <v>137.5</v>
          </cell>
          <cell r="P25">
            <v>133.5</v>
          </cell>
          <cell r="Q25">
            <v>4</v>
          </cell>
        </row>
        <row r="26">
          <cell r="C26" t="str">
            <v>サービス業（他に分類されないもの）</v>
          </cell>
          <cell r="F26">
            <v>18.399999999999999</v>
          </cell>
          <cell r="G26">
            <v>139.1</v>
          </cell>
          <cell r="H26">
            <v>130.80000000000001</v>
          </cell>
          <cell r="I26">
            <v>8.3000000000000007</v>
          </cell>
          <cell r="J26">
            <v>18.7</v>
          </cell>
          <cell r="K26">
            <v>153.5</v>
          </cell>
          <cell r="L26">
            <v>141.80000000000001</v>
          </cell>
          <cell r="M26">
            <v>11.7</v>
          </cell>
          <cell r="N26">
            <v>18.2</v>
          </cell>
          <cell r="O26">
            <v>123</v>
          </cell>
          <cell r="P26">
            <v>118.5</v>
          </cell>
          <cell r="Q26">
            <v>4.5</v>
          </cell>
        </row>
        <row r="27">
          <cell r="C27" t="str">
            <v>食料品・たばこ</v>
          </cell>
          <cell r="F27">
            <v>19</v>
          </cell>
          <cell r="G27">
            <v>151.1</v>
          </cell>
          <cell r="H27">
            <v>139.69999999999999</v>
          </cell>
          <cell r="I27">
            <v>11.4</v>
          </cell>
          <cell r="J27">
            <v>19.3</v>
          </cell>
          <cell r="K27">
            <v>160.69999999999999</v>
          </cell>
          <cell r="L27">
            <v>146.80000000000001</v>
          </cell>
          <cell r="M27">
            <v>13.9</v>
          </cell>
          <cell r="N27">
            <v>18.8</v>
          </cell>
          <cell r="O27">
            <v>142.6</v>
          </cell>
          <cell r="P27">
            <v>133.5</v>
          </cell>
          <cell r="Q27">
            <v>9.1</v>
          </cell>
        </row>
        <row r="28">
          <cell r="C28" t="str">
            <v>繊維工業</v>
          </cell>
          <cell r="F28">
            <v>18.7</v>
          </cell>
          <cell r="G28">
            <v>154.69999999999999</v>
          </cell>
          <cell r="H28">
            <v>140.5</v>
          </cell>
          <cell r="I28">
            <v>14.2</v>
          </cell>
          <cell r="J28">
            <v>19.399999999999999</v>
          </cell>
          <cell r="K28">
            <v>159.4</v>
          </cell>
          <cell r="L28">
            <v>143.69999999999999</v>
          </cell>
          <cell r="M28">
            <v>15.7</v>
          </cell>
          <cell r="N28">
            <v>18.3</v>
          </cell>
          <cell r="O28">
            <v>151.30000000000001</v>
          </cell>
          <cell r="P28">
            <v>138.19999999999999</v>
          </cell>
          <cell r="Q28">
            <v>13.1</v>
          </cell>
        </row>
        <row r="29">
          <cell r="C29" t="str">
            <v>木材・木製品</v>
          </cell>
          <cell r="F29">
            <v>18.600000000000001</v>
          </cell>
          <cell r="G29">
            <v>146.80000000000001</v>
          </cell>
          <cell r="H29">
            <v>139.1</v>
          </cell>
          <cell r="I29">
            <v>7.7</v>
          </cell>
          <cell r="J29">
            <v>18.3</v>
          </cell>
          <cell r="K29">
            <v>149.9</v>
          </cell>
          <cell r="L29">
            <v>140.80000000000001</v>
          </cell>
          <cell r="M29">
            <v>9.1</v>
          </cell>
          <cell r="N29">
            <v>19.8</v>
          </cell>
          <cell r="O29">
            <v>133.19999999999999</v>
          </cell>
          <cell r="P29">
            <v>131.4</v>
          </cell>
          <cell r="Q29">
            <v>1.8</v>
          </cell>
        </row>
        <row r="30">
          <cell r="C30" t="str">
            <v>家具・装備品</v>
          </cell>
          <cell r="F30" t="str">
            <v>#19</v>
          </cell>
          <cell r="G30" t="str">
            <v>#142.9</v>
          </cell>
          <cell r="H30" t="str">
            <v>#142.9</v>
          </cell>
          <cell r="I30" t="str">
            <v>#0</v>
          </cell>
          <cell r="J30" t="str">
            <v>#19.3</v>
          </cell>
          <cell r="K30" t="str">
            <v>#149.5</v>
          </cell>
          <cell r="L30" t="str">
            <v>#149.5</v>
          </cell>
          <cell r="M30" t="str">
            <v>#0</v>
          </cell>
          <cell r="N30" t="str">
            <v>#18.3</v>
          </cell>
          <cell r="O30" t="str">
            <v>#127.8</v>
          </cell>
          <cell r="P30" t="str">
            <v>#127.8</v>
          </cell>
          <cell r="Q30" t="str">
            <v>#0</v>
          </cell>
        </row>
        <row r="31">
          <cell r="C31" t="str">
            <v>パルプ・紙</v>
          </cell>
          <cell r="F31" t="str">
            <v>#18.1</v>
          </cell>
          <cell r="G31" t="str">
            <v>#145.1</v>
          </cell>
          <cell r="H31" t="str">
            <v>#135</v>
          </cell>
          <cell r="I31" t="str">
            <v>#10.1</v>
          </cell>
          <cell r="J31" t="str">
            <v>#18.1</v>
          </cell>
          <cell r="K31" t="str">
            <v>#147.3</v>
          </cell>
          <cell r="L31" t="str">
            <v>#134.4</v>
          </cell>
          <cell r="M31" t="str">
            <v>#12.9</v>
          </cell>
          <cell r="N31" t="str">
            <v>#18.1</v>
          </cell>
          <cell r="O31" t="str">
            <v>#138.7</v>
          </cell>
          <cell r="P31" t="str">
            <v>#136.9</v>
          </cell>
          <cell r="Q31" t="str">
            <v>#1.8</v>
          </cell>
        </row>
        <row r="32">
          <cell r="C32" t="str">
            <v>印刷・同関連業</v>
          </cell>
          <cell r="F32">
            <v>18.899999999999999</v>
          </cell>
          <cell r="G32">
            <v>147.9</v>
          </cell>
          <cell r="H32">
            <v>138.80000000000001</v>
          </cell>
          <cell r="I32">
            <v>9.1</v>
          </cell>
          <cell r="J32">
            <v>19</v>
          </cell>
          <cell r="K32">
            <v>151</v>
          </cell>
          <cell r="L32">
            <v>139.19999999999999</v>
          </cell>
          <cell r="M32">
            <v>11.8</v>
          </cell>
          <cell r="N32">
            <v>18.600000000000001</v>
          </cell>
          <cell r="O32">
            <v>140.30000000000001</v>
          </cell>
          <cell r="P32">
            <v>137.80000000000001</v>
          </cell>
          <cell r="Q32">
            <v>2.5</v>
          </cell>
        </row>
        <row r="33">
          <cell r="C33" t="str">
            <v>化学、石油・石炭</v>
          </cell>
          <cell r="F33">
            <v>19.3</v>
          </cell>
          <cell r="G33">
            <v>158.9</v>
          </cell>
          <cell r="H33">
            <v>141.6</v>
          </cell>
          <cell r="I33">
            <v>17.3</v>
          </cell>
          <cell r="J33">
            <v>19.399999999999999</v>
          </cell>
          <cell r="K33">
            <v>160.30000000000001</v>
          </cell>
          <cell r="L33">
            <v>142</v>
          </cell>
          <cell r="M33">
            <v>18.3</v>
          </cell>
          <cell r="N33">
            <v>18.2</v>
          </cell>
          <cell r="O33">
            <v>141.19999999999999</v>
          </cell>
          <cell r="P33">
            <v>136</v>
          </cell>
          <cell r="Q33">
            <v>5.2</v>
          </cell>
        </row>
        <row r="34">
          <cell r="C34" t="str">
            <v>プラスチック製品</v>
          </cell>
          <cell r="F34">
            <v>18.5</v>
          </cell>
          <cell r="G34">
            <v>138.80000000000001</v>
          </cell>
          <cell r="H34">
            <v>132.1</v>
          </cell>
          <cell r="I34">
            <v>6.7</v>
          </cell>
          <cell r="J34">
            <v>18.8</v>
          </cell>
          <cell r="K34">
            <v>153</v>
          </cell>
          <cell r="L34">
            <v>143.4</v>
          </cell>
          <cell r="M34">
            <v>9.6</v>
          </cell>
          <cell r="N34">
            <v>17.7</v>
          </cell>
          <cell r="O34">
            <v>109.4</v>
          </cell>
          <cell r="P34">
            <v>108.5</v>
          </cell>
          <cell r="Q34">
            <v>0.9</v>
          </cell>
        </row>
        <row r="35">
          <cell r="C35" t="str">
            <v>ゴム製品</v>
          </cell>
          <cell r="F35">
            <v>17.100000000000001</v>
          </cell>
          <cell r="G35">
            <v>147.80000000000001</v>
          </cell>
          <cell r="H35">
            <v>126</v>
          </cell>
          <cell r="I35">
            <v>21.8</v>
          </cell>
          <cell r="J35">
            <v>17.100000000000001</v>
          </cell>
          <cell r="K35">
            <v>149.1</v>
          </cell>
          <cell r="L35">
            <v>125.1</v>
          </cell>
          <cell r="M35">
            <v>24</v>
          </cell>
          <cell r="N35">
            <v>17</v>
          </cell>
          <cell r="O35">
            <v>138.9</v>
          </cell>
          <cell r="P35">
            <v>131.6</v>
          </cell>
          <cell r="Q35">
            <v>7.3</v>
          </cell>
        </row>
        <row r="36">
          <cell r="C36" t="str">
            <v>窯業・土石製品</v>
          </cell>
          <cell r="F36">
            <v>17.8</v>
          </cell>
          <cell r="G36">
            <v>137.5</v>
          </cell>
          <cell r="H36">
            <v>132.69999999999999</v>
          </cell>
          <cell r="I36">
            <v>4.8</v>
          </cell>
          <cell r="J36">
            <v>17.7</v>
          </cell>
          <cell r="K36">
            <v>140.69999999999999</v>
          </cell>
          <cell r="L36">
            <v>134.80000000000001</v>
          </cell>
          <cell r="M36">
            <v>5.9</v>
          </cell>
          <cell r="N36">
            <v>18.3</v>
          </cell>
          <cell r="O36">
            <v>126.2</v>
          </cell>
          <cell r="P36">
            <v>125.3</v>
          </cell>
          <cell r="Q36">
            <v>0.9</v>
          </cell>
        </row>
        <row r="37">
          <cell r="C37" t="str">
            <v>鉄鋼業</v>
          </cell>
          <cell r="F37" t="str">
            <v>#17.6</v>
          </cell>
          <cell r="G37" t="str">
            <v>#163.5</v>
          </cell>
          <cell r="H37" t="str">
            <v>#138</v>
          </cell>
          <cell r="I37" t="str">
            <v>#25.5</v>
          </cell>
          <cell r="J37" t="str">
            <v>#17.7</v>
          </cell>
          <cell r="K37" t="str">
            <v>#164.8</v>
          </cell>
          <cell r="L37" t="str">
            <v>#138.6</v>
          </cell>
          <cell r="M37" t="str">
            <v>#26.2</v>
          </cell>
          <cell r="N37" t="str">
            <v>#16.4</v>
          </cell>
          <cell r="O37" t="str">
            <v>#146.2</v>
          </cell>
          <cell r="P37" t="str">
            <v>#129.6</v>
          </cell>
          <cell r="Q37" t="str">
            <v>#16.6</v>
          </cell>
        </row>
        <row r="38">
          <cell r="C38" t="str">
            <v>非鉄金属製造業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</row>
        <row r="39">
          <cell r="C39" t="str">
            <v>金属製品製造業</v>
          </cell>
          <cell r="F39">
            <v>18.399999999999999</v>
          </cell>
          <cell r="G39">
            <v>151.9</v>
          </cell>
          <cell r="H39">
            <v>141.9</v>
          </cell>
          <cell r="I39">
            <v>10</v>
          </cell>
          <cell r="J39">
            <v>18.600000000000001</v>
          </cell>
          <cell r="K39">
            <v>156.19999999999999</v>
          </cell>
          <cell r="L39">
            <v>144.19999999999999</v>
          </cell>
          <cell r="M39">
            <v>12</v>
          </cell>
          <cell r="N39">
            <v>18</v>
          </cell>
          <cell r="O39">
            <v>138.9</v>
          </cell>
          <cell r="P39">
            <v>135</v>
          </cell>
          <cell r="Q39">
            <v>3.9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16.2</v>
          </cell>
          <cell r="G42">
            <v>138.4</v>
          </cell>
          <cell r="H42">
            <v>128.30000000000001</v>
          </cell>
          <cell r="I42">
            <v>10.1</v>
          </cell>
          <cell r="J42">
            <v>16.5</v>
          </cell>
          <cell r="K42">
            <v>141.30000000000001</v>
          </cell>
          <cell r="L42">
            <v>129.4</v>
          </cell>
          <cell r="M42">
            <v>11.9</v>
          </cell>
          <cell r="N42">
            <v>16</v>
          </cell>
          <cell r="O42">
            <v>135.80000000000001</v>
          </cell>
          <cell r="P42">
            <v>127.3</v>
          </cell>
          <cell r="Q42">
            <v>8.5</v>
          </cell>
        </row>
        <row r="43">
          <cell r="C43" t="str">
            <v>電子・デバイス</v>
          </cell>
          <cell r="F43">
            <v>17.600000000000001</v>
          </cell>
          <cell r="G43">
            <v>149.9</v>
          </cell>
          <cell r="H43">
            <v>137.30000000000001</v>
          </cell>
          <cell r="I43">
            <v>12.6</v>
          </cell>
          <cell r="J43">
            <v>17.899999999999999</v>
          </cell>
          <cell r="K43">
            <v>158.19999999999999</v>
          </cell>
          <cell r="L43">
            <v>142.30000000000001</v>
          </cell>
          <cell r="M43">
            <v>15.9</v>
          </cell>
          <cell r="N43">
            <v>17</v>
          </cell>
          <cell r="O43">
            <v>134.1</v>
          </cell>
          <cell r="P43">
            <v>127.8</v>
          </cell>
          <cell r="Q43">
            <v>6.3</v>
          </cell>
        </row>
        <row r="44">
          <cell r="C44" t="str">
            <v>電気機械器具</v>
          </cell>
          <cell r="F44">
            <v>17.8</v>
          </cell>
          <cell r="G44">
            <v>142.9</v>
          </cell>
          <cell r="H44">
            <v>137.1</v>
          </cell>
          <cell r="I44">
            <v>5.8</v>
          </cell>
          <cell r="J44">
            <v>18.7</v>
          </cell>
          <cell r="K44">
            <v>152.30000000000001</v>
          </cell>
          <cell r="L44">
            <v>145</v>
          </cell>
          <cell r="M44">
            <v>7.3</v>
          </cell>
          <cell r="N44">
            <v>16.100000000000001</v>
          </cell>
          <cell r="O44">
            <v>123.2</v>
          </cell>
          <cell r="P44">
            <v>120.7</v>
          </cell>
          <cell r="Q44">
            <v>2.5</v>
          </cell>
        </row>
        <row r="45">
          <cell r="C45" t="str">
            <v>情報通信機械器具</v>
          </cell>
          <cell r="F45">
            <v>17.5</v>
          </cell>
          <cell r="G45">
            <v>154</v>
          </cell>
          <cell r="H45">
            <v>147.19999999999999</v>
          </cell>
          <cell r="I45">
            <v>6.8</v>
          </cell>
          <cell r="J45">
            <v>17.600000000000001</v>
          </cell>
          <cell r="K45">
            <v>152.5</v>
          </cell>
          <cell r="L45">
            <v>145.4</v>
          </cell>
          <cell r="M45">
            <v>7.1</v>
          </cell>
          <cell r="N45">
            <v>17.399999999999999</v>
          </cell>
          <cell r="O45">
            <v>155.6</v>
          </cell>
          <cell r="P45">
            <v>149.1</v>
          </cell>
          <cell r="Q45">
            <v>6.5</v>
          </cell>
        </row>
        <row r="46">
          <cell r="C46" t="str">
            <v>輸送用機械器具</v>
          </cell>
          <cell r="F46">
            <v>16.399999999999999</v>
          </cell>
          <cell r="G46">
            <v>155.1</v>
          </cell>
          <cell r="H46">
            <v>132</v>
          </cell>
          <cell r="I46">
            <v>23.1</v>
          </cell>
          <cell r="J46">
            <v>16.399999999999999</v>
          </cell>
          <cell r="K46">
            <v>157.69999999999999</v>
          </cell>
          <cell r="L46">
            <v>133</v>
          </cell>
          <cell r="M46">
            <v>24.7</v>
          </cell>
          <cell r="N46">
            <v>16.399999999999999</v>
          </cell>
          <cell r="O46">
            <v>144.30000000000001</v>
          </cell>
          <cell r="P46">
            <v>127.9</v>
          </cell>
          <cell r="Q46">
            <v>16.399999999999999</v>
          </cell>
        </row>
        <row r="47">
          <cell r="C47" t="str">
            <v>その他の製造業</v>
          </cell>
          <cell r="F47">
            <v>19.5</v>
          </cell>
          <cell r="G47">
            <v>166.6</v>
          </cell>
          <cell r="H47">
            <v>144.5</v>
          </cell>
          <cell r="I47">
            <v>22.1</v>
          </cell>
          <cell r="J47">
            <v>19.899999999999999</v>
          </cell>
          <cell r="K47">
            <v>175.4</v>
          </cell>
          <cell r="L47">
            <v>147.69999999999999</v>
          </cell>
          <cell r="M47">
            <v>27.7</v>
          </cell>
          <cell r="N47">
            <v>18.2</v>
          </cell>
          <cell r="O47">
            <v>134.19999999999999</v>
          </cell>
          <cell r="P47">
            <v>132.6</v>
          </cell>
          <cell r="Q47">
            <v>1.6</v>
          </cell>
        </row>
        <row r="48">
          <cell r="C48" t="str">
            <v>Ｅ一括分１</v>
          </cell>
          <cell r="F48">
            <v>19.899999999999999</v>
          </cell>
          <cell r="G48">
            <v>163.6</v>
          </cell>
          <cell r="H48">
            <v>152.5</v>
          </cell>
          <cell r="I48">
            <v>11.1</v>
          </cell>
          <cell r="J48">
            <v>19.899999999999999</v>
          </cell>
          <cell r="K48">
            <v>163.9</v>
          </cell>
          <cell r="L48">
            <v>152.1</v>
          </cell>
          <cell r="M48">
            <v>11.8</v>
          </cell>
          <cell r="N48">
            <v>19.899999999999999</v>
          </cell>
          <cell r="O48">
            <v>162.4</v>
          </cell>
          <cell r="P48">
            <v>153.80000000000001</v>
          </cell>
          <cell r="Q48">
            <v>8.6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20</v>
          </cell>
          <cell r="G51">
            <v>159.6</v>
          </cell>
          <cell r="H51">
            <v>151.4</v>
          </cell>
          <cell r="I51">
            <v>8.1999999999999993</v>
          </cell>
          <cell r="J51">
            <v>20.100000000000001</v>
          </cell>
          <cell r="K51">
            <v>164.5</v>
          </cell>
          <cell r="L51">
            <v>153.80000000000001</v>
          </cell>
          <cell r="M51">
            <v>10.7</v>
          </cell>
          <cell r="N51">
            <v>19.8</v>
          </cell>
          <cell r="O51">
            <v>149.30000000000001</v>
          </cell>
          <cell r="P51">
            <v>146.30000000000001</v>
          </cell>
          <cell r="Q51">
            <v>3</v>
          </cell>
        </row>
        <row r="52">
          <cell r="C52" t="str">
            <v>小売業</v>
          </cell>
          <cell r="F52">
            <v>17.7</v>
          </cell>
          <cell r="G52">
            <v>118.8</v>
          </cell>
          <cell r="H52">
            <v>110.7</v>
          </cell>
          <cell r="I52">
            <v>8.1</v>
          </cell>
          <cell r="J52">
            <v>19.3</v>
          </cell>
          <cell r="K52">
            <v>146.30000000000001</v>
          </cell>
          <cell r="L52">
            <v>131.19999999999999</v>
          </cell>
          <cell r="M52">
            <v>15.1</v>
          </cell>
          <cell r="N52">
            <v>16.899999999999999</v>
          </cell>
          <cell r="O52">
            <v>104.9</v>
          </cell>
          <cell r="P52">
            <v>100.3</v>
          </cell>
          <cell r="Q52">
            <v>4.5999999999999996</v>
          </cell>
        </row>
        <row r="53">
          <cell r="C53" t="str">
            <v>宿泊業</v>
          </cell>
          <cell r="F53">
            <v>19.899999999999999</v>
          </cell>
          <cell r="G53">
            <v>135</v>
          </cell>
          <cell r="H53">
            <v>126</v>
          </cell>
          <cell r="I53">
            <v>9</v>
          </cell>
          <cell r="J53">
            <v>20.5</v>
          </cell>
          <cell r="K53">
            <v>153.80000000000001</v>
          </cell>
          <cell r="L53">
            <v>140.80000000000001</v>
          </cell>
          <cell r="M53">
            <v>13</v>
          </cell>
          <cell r="N53">
            <v>19.399999999999999</v>
          </cell>
          <cell r="O53">
            <v>121.9</v>
          </cell>
          <cell r="P53">
            <v>115.7</v>
          </cell>
          <cell r="Q53">
            <v>6.2</v>
          </cell>
        </row>
        <row r="54">
          <cell r="C54" t="str">
            <v>Ｍ一括分</v>
          </cell>
          <cell r="F54">
            <v>13.2</v>
          </cell>
          <cell r="G54">
            <v>80.7</v>
          </cell>
          <cell r="H54">
            <v>77.599999999999994</v>
          </cell>
          <cell r="I54">
            <v>3.1</v>
          </cell>
          <cell r="J54">
            <v>13.6</v>
          </cell>
          <cell r="K54">
            <v>82.5</v>
          </cell>
          <cell r="L54">
            <v>77.900000000000006</v>
          </cell>
          <cell r="M54">
            <v>4.5999999999999996</v>
          </cell>
          <cell r="N54">
            <v>13</v>
          </cell>
          <cell r="O54">
            <v>79.8</v>
          </cell>
          <cell r="P54">
            <v>77.400000000000006</v>
          </cell>
          <cell r="Q54">
            <v>2.4</v>
          </cell>
        </row>
        <row r="55">
          <cell r="C55" t="str">
            <v>医療業</v>
          </cell>
          <cell r="F55">
            <v>19.399999999999999</v>
          </cell>
          <cell r="G55">
            <v>145.6</v>
          </cell>
          <cell r="H55">
            <v>140.5</v>
          </cell>
          <cell r="I55">
            <v>5.0999999999999996</v>
          </cell>
          <cell r="J55">
            <v>19.899999999999999</v>
          </cell>
          <cell r="K55">
            <v>153.30000000000001</v>
          </cell>
          <cell r="L55">
            <v>146.6</v>
          </cell>
          <cell r="M55">
            <v>6.7</v>
          </cell>
          <cell r="N55">
            <v>19.2</v>
          </cell>
          <cell r="O55">
            <v>143.19999999999999</v>
          </cell>
          <cell r="P55">
            <v>138.6</v>
          </cell>
          <cell r="Q55">
            <v>4.5999999999999996</v>
          </cell>
        </row>
        <row r="56">
          <cell r="C56" t="str">
            <v>Ｐ一括分</v>
          </cell>
          <cell r="F56">
            <v>18.899999999999999</v>
          </cell>
          <cell r="G56">
            <v>137.30000000000001</v>
          </cell>
          <cell r="H56">
            <v>133.69999999999999</v>
          </cell>
          <cell r="I56">
            <v>3.6</v>
          </cell>
          <cell r="J56">
            <v>19.8</v>
          </cell>
          <cell r="K56">
            <v>152.5</v>
          </cell>
          <cell r="L56">
            <v>147.6</v>
          </cell>
          <cell r="M56">
            <v>4.9000000000000004</v>
          </cell>
          <cell r="N56">
            <v>18.600000000000001</v>
          </cell>
          <cell r="O56">
            <v>131.9</v>
          </cell>
          <cell r="P56">
            <v>128.69999999999999</v>
          </cell>
          <cell r="Q56">
            <v>3.2</v>
          </cell>
        </row>
        <row r="57">
          <cell r="C57" t="str">
            <v>職業紹介・派遣業</v>
          </cell>
          <cell r="F57">
            <v>17.600000000000001</v>
          </cell>
          <cell r="G57">
            <v>143.30000000000001</v>
          </cell>
          <cell r="H57">
            <v>135.9</v>
          </cell>
          <cell r="I57">
            <v>7.4</v>
          </cell>
          <cell r="J57">
            <v>17.399999999999999</v>
          </cell>
          <cell r="K57">
            <v>153.6</v>
          </cell>
          <cell r="L57">
            <v>141.80000000000001</v>
          </cell>
          <cell r="M57">
            <v>11.8</v>
          </cell>
          <cell r="N57">
            <v>17.8</v>
          </cell>
          <cell r="O57">
            <v>135.19999999999999</v>
          </cell>
          <cell r="P57">
            <v>131.30000000000001</v>
          </cell>
          <cell r="Q57">
            <v>3.9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18.600000000000001</v>
          </cell>
          <cell r="G59">
            <v>138</v>
          </cell>
          <cell r="H59">
            <v>129.4</v>
          </cell>
          <cell r="I59">
            <v>8.6</v>
          </cell>
          <cell r="J59">
            <v>18.899999999999999</v>
          </cell>
          <cell r="K59">
            <v>153.5</v>
          </cell>
          <cell r="L59">
            <v>141.80000000000001</v>
          </cell>
          <cell r="M59">
            <v>11.7</v>
          </cell>
          <cell r="N59">
            <v>18.3</v>
          </cell>
          <cell r="O59">
            <v>119.1</v>
          </cell>
          <cell r="P59">
            <v>114.4</v>
          </cell>
          <cell r="Q59">
            <v>4.7</v>
          </cell>
        </row>
        <row r="60">
          <cell r="C60" t="str">
            <v>特掲産業１</v>
          </cell>
          <cell r="F60" t="str">
            <v>#14.1</v>
          </cell>
          <cell r="G60" t="str">
            <v>#109.7</v>
          </cell>
          <cell r="H60" t="str">
            <v>#105.4</v>
          </cell>
          <cell r="I60" t="str">
            <v>#4.3</v>
          </cell>
          <cell r="J60" t="str">
            <v>#13.9</v>
          </cell>
          <cell r="K60" t="str">
            <v>#110.1</v>
          </cell>
          <cell r="L60" t="str">
            <v>#105.3</v>
          </cell>
          <cell r="M60" t="str">
            <v>#4.8</v>
          </cell>
          <cell r="N60" t="str">
            <v>#14.7</v>
          </cell>
          <cell r="O60" t="str">
            <v>#108.8</v>
          </cell>
          <cell r="P60" t="str">
            <v>#105.4</v>
          </cell>
          <cell r="Q60" t="str">
            <v>#3.4</v>
          </cell>
        </row>
        <row r="61">
          <cell r="C61" t="str">
            <v>特掲産業２</v>
          </cell>
          <cell r="F61" t="str">
            <v>#18.6</v>
          </cell>
          <cell r="G61" t="str">
            <v>#145.9</v>
          </cell>
          <cell r="H61" t="str">
            <v>#137</v>
          </cell>
          <cell r="I61" t="str">
            <v>#8.9</v>
          </cell>
          <cell r="J61" t="str">
            <v>#19.6</v>
          </cell>
          <cell r="K61" t="str">
            <v>#164.7</v>
          </cell>
          <cell r="L61" t="str">
            <v>#151</v>
          </cell>
          <cell r="M61" t="str">
            <v>#13.7</v>
          </cell>
          <cell r="N61" t="str">
            <v>#17.4</v>
          </cell>
          <cell r="O61" t="str">
            <v>#120.7</v>
          </cell>
          <cell r="P61" t="str">
            <v>#118.2</v>
          </cell>
          <cell r="Q61" t="str">
            <v>#2.5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17.7</v>
          </cell>
          <cell r="G80">
            <v>135</v>
          </cell>
          <cell r="H80">
            <v>126.3</v>
          </cell>
          <cell r="I80">
            <v>8.6999999999999993</v>
          </cell>
          <cell r="J80">
            <v>18.5</v>
          </cell>
          <cell r="K80">
            <v>149.1</v>
          </cell>
          <cell r="L80">
            <v>136.4</v>
          </cell>
          <cell r="M80">
            <v>12.7</v>
          </cell>
          <cell r="N80">
            <v>17</v>
          </cell>
          <cell r="O80">
            <v>121</v>
          </cell>
          <cell r="P80">
            <v>116.3</v>
          </cell>
          <cell r="Q80">
            <v>4.7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19.399999999999999</v>
          </cell>
          <cell r="G82">
            <v>148</v>
          </cell>
          <cell r="H82">
            <v>139.9</v>
          </cell>
          <cell r="I82">
            <v>8.1</v>
          </cell>
          <cell r="J82">
            <v>19.5</v>
          </cell>
          <cell r="K82">
            <v>149.6</v>
          </cell>
          <cell r="L82">
            <v>140.5</v>
          </cell>
          <cell r="M82">
            <v>9.1</v>
          </cell>
          <cell r="N82">
            <v>18.7</v>
          </cell>
          <cell r="O82">
            <v>138.69999999999999</v>
          </cell>
          <cell r="P82">
            <v>136.30000000000001</v>
          </cell>
          <cell r="Q82">
            <v>2.4</v>
          </cell>
        </row>
        <row r="83">
          <cell r="C83" t="str">
            <v>製造業</v>
          </cell>
          <cell r="F83">
            <v>17.899999999999999</v>
          </cell>
          <cell r="G83">
            <v>146.19999999999999</v>
          </cell>
          <cell r="H83">
            <v>134.5</v>
          </cell>
          <cell r="I83">
            <v>11.7</v>
          </cell>
          <cell r="J83">
            <v>18.5</v>
          </cell>
          <cell r="K83">
            <v>155.9</v>
          </cell>
          <cell r="L83">
            <v>140.80000000000001</v>
          </cell>
          <cell r="M83">
            <v>15.1</v>
          </cell>
          <cell r="N83">
            <v>17.100000000000001</v>
          </cell>
          <cell r="O83">
            <v>132.6</v>
          </cell>
          <cell r="P83">
            <v>125.7</v>
          </cell>
          <cell r="Q83">
            <v>6.9</v>
          </cell>
        </row>
        <row r="84">
          <cell r="C84" t="str">
            <v>電気・ガス・熱供給・水道業</v>
          </cell>
          <cell r="F84">
            <v>20.2</v>
          </cell>
          <cell r="G84">
            <v>178.1</v>
          </cell>
          <cell r="H84">
            <v>146.30000000000001</v>
          </cell>
          <cell r="I84">
            <v>31.8</v>
          </cell>
          <cell r="J84">
            <v>20.3</v>
          </cell>
          <cell r="K84">
            <v>184.5</v>
          </cell>
          <cell r="L84">
            <v>148.4</v>
          </cell>
          <cell r="M84">
            <v>36.1</v>
          </cell>
          <cell r="N84">
            <v>19.600000000000001</v>
          </cell>
          <cell r="O84">
            <v>139.30000000000001</v>
          </cell>
          <cell r="P84">
            <v>133.5</v>
          </cell>
          <cell r="Q84">
            <v>5.8</v>
          </cell>
        </row>
        <row r="85">
          <cell r="C85" t="str">
            <v>情報通信業</v>
          </cell>
          <cell r="F85">
            <v>18.7</v>
          </cell>
          <cell r="G85">
            <v>152.9</v>
          </cell>
          <cell r="H85">
            <v>142</v>
          </cell>
          <cell r="I85">
            <v>10.9</v>
          </cell>
          <cell r="J85">
            <v>18.899999999999999</v>
          </cell>
          <cell r="K85">
            <v>154.5</v>
          </cell>
          <cell r="L85">
            <v>143.4</v>
          </cell>
          <cell r="M85">
            <v>11.1</v>
          </cell>
          <cell r="N85">
            <v>18.399999999999999</v>
          </cell>
          <cell r="O85">
            <v>149.69999999999999</v>
          </cell>
          <cell r="P85">
            <v>139.1</v>
          </cell>
          <cell r="Q85">
            <v>10.6</v>
          </cell>
        </row>
        <row r="86">
          <cell r="C86" t="str">
            <v>運輸業，郵便業</v>
          </cell>
          <cell r="F86">
            <v>19.2</v>
          </cell>
          <cell r="G86">
            <v>168.6</v>
          </cell>
          <cell r="H86">
            <v>142.5</v>
          </cell>
          <cell r="I86">
            <v>26.1</v>
          </cell>
          <cell r="J86">
            <v>19.3</v>
          </cell>
          <cell r="K86">
            <v>172.4</v>
          </cell>
          <cell r="L86">
            <v>143.9</v>
          </cell>
          <cell r="M86">
            <v>28.5</v>
          </cell>
          <cell r="N86">
            <v>18</v>
          </cell>
          <cell r="O86">
            <v>138</v>
          </cell>
          <cell r="P86">
            <v>130.9</v>
          </cell>
          <cell r="Q86">
            <v>7.1</v>
          </cell>
        </row>
        <row r="87">
          <cell r="C87" t="str">
            <v>卸売業，小売業</v>
          </cell>
          <cell r="F87">
            <v>17.7</v>
          </cell>
          <cell r="G87">
            <v>131.1</v>
          </cell>
          <cell r="H87">
            <v>122.6</v>
          </cell>
          <cell r="I87">
            <v>8.5</v>
          </cell>
          <cell r="J87">
            <v>18.5</v>
          </cell>
          <cell r="K87">
            <v>149.9</v>
          </cell>
          <cell r="L87">
            <v>137</v>
          </cell>
          <cell r="M87">
            <v>12.9</v>
          </cell>
          <cell r="N87">
            <v>16.8</v>
          </cell>
          <cell r="O87">
            <v>110.7</v>
          </cell>
          <cell r="P87">
            <v>107</v>
          </cell>
          <cell r="Q87">
            <v>3.7</v>
          </cell>
        </row>
        <row r="88">
          <cell r="C88" t="str">
            <v>金融業，保険業</v>
          </cell>
          <cell r="F88">
            <v>20.100000000000001</v>
          </cell>
          <cell r="G88">
            <v>155.5</v>
          </cell>
          <cell r="H88">
            <v>149.1</v>
          </cell>
          <cell r="I88">
            <v>6.4</v>
          </cell>
          <cell r="J88">
            <v>20</v>
          </cell>
          <cell r="K88">
            <v>158</v>
          </cell>
          <cell r="L88">
            <v>149.19999999999999</v>
          </cell>
          <cell r="M88">
            <v>8.8000000000000007</v>
          </cell>
          <cell r="N88">
            <v>20.3</v>
          </cell>
          <cell r="O88">
            <v>151.80000000000001</v>
          </cell>
          <cell r="P88">
            <v>148.9</v>
          </cell>
          <cell r="Q88">
            <v>2.9</v>
          </cell>
        </row>
        <row r="89">
          <cell r="C89" t="str">
            <v>不動産業，物品賃貸業</v>
          </cell>
          <cell r="F89">
            <v>17.399999999999999</v>
          </cell>
          <cell r="G89">
            <v>122.8</v>
          </cell>
          <cell r="H89">
            <v>119.9</v>
          </cell>
          <cell r="I89">
            <v>2.9</v>
          </cell>
          <cell r="J89">
            <v>18.399999999999999</v>
          </cell>
          <cell r="K89">
            <v>137.30000000000001</v>
          </cell>
          <cell r="L89">
            <v>132.9</v>
          </cell>
          <cell r="M89">
            <v>4.4000000000000004</v>
          </cell>
          <cell r="N89">
            <v>15.6</v>
          </cell>
          <cell r="O89">
            <v>98.8</v>
          </cell>
          <cell r="P89">
            <v>98.2</v>
          </cell>
          <cell r="Q89">
            <v>0.6</v>
          </cell>
        </row>
        <row r="90">
          <cell r="C90" t="str">
            <v>学術研究，専門・技術サービス業</v>
          </cell>
          <cell r="F90">
            <v>18.899999999999999</v>
          </cell>
          <cell r="G90">
            <v>143.9</v>
          </cell>
          <cell r="H90">
            <v>138.1</v>
          </cell>
          <cell r="I90">
            <v>5.8</v>
          </cell>
          <cell r="J90">
            <v>19</v>
          </cell>
          <cell r="K90">
            <v>153.30000000000001</v>
          </cell>
          <cell r="L90">
            <v>146.4</v>
          </cell>
          <cell r="M90">
            <v>6.9</v>
          </cell>
          <cell r="N90">
            <v>18.600000000000001</v>
          </cell>
          <cell r="O90">
            <v>127.6</v>
          </cell>
          <cell r="P90">
            <v>123.6</v>
          </cell>
          <cell r="Q90">
            <v>4</v>
          </cell>
        </row>
        <row r="91">
          <cell r="C91" t="str">
            <v>宿泊業，飲食サービス業</v>
          </cell>
          <cell r="F91">
            <v>14.6</v>
          </cell>
          <cell r="G91">
            <v>84.1</v>
          </cell>
          <cell r="H91">
            <v>80.400000000000006</v>
          </cell>
          <cell r="I91">
            <v>3.7</v>
          </cell>
          <cell r="J91">
            <v>16.7</v>
          </cell>
          <cell r="K91">
            <v>102.3</v>
          </cell>
          <cell r="L91">
            <v>94.5</v>
          </cell>
          <cell r="M91">
            <v>7.8</v>
          </cell>
          <cell r="N91">
            <v>13.3</v>
          </cell>
          <cell r="O91">
            <v>73.3</v>
          </cell>
          <cell r="P91">
            <v>72.099999999999994</v>
          </cell>
          <cell r="Q91">
            <v>1.2</v>
          </cell>
        </row>
        <row r="92">
          <cell r="C92" t="str">
            <v>生活関連サービス業，娯楽業</v>
          </cell>
          <cell r="F92">
            <v>17.7</v>
          </cell>
          <cell r="G92">
            <v>141.30000000000001</v>
          </cell>
          <cell r="H92">
            <v>128.1</v>
          </cell>
          <cell r="I92">
            <v>13.2</v>
          </cell>
          <cell r="J92">
            <v>17.8</v>
          </cell>
          <cell r="K92">
            <v>148.19999999999999</v>
          </cell>
          <cell r="L92">
            <v>134.30000000000001</v>
          </cell>
          <cell r="M92">
            <v>13.9</v>
          </cell>
          <cell r="N92">
            <v>17.600000000000001</v>
          </cell>
          <cell r="O92">
            <v>132.4</v>
          </cell>
          <cell r="P92">
            <v>120.1</v>
          </cell>
          <cell r="Q92">
            <v>12.3</v>
          </cell>
        </row>
        <row r="93">
          <cell r="C93" t="str">
            <v>教育，学習支援業</v>
          </cell>
          <cell r="F93">
            <v>12.9</v>
          </cell>
          <cell r="G93">
            <v>106.4</v>
          </cell>
          <cell r="H93">
            <v>95.8</v>
          </cell>
          <cell r="I93">
            <v>10.6</v>
          </cell>
          <cell r="J93">
            <v>13.8</v>
          </cell>
          <cell r="K93">
            <v>117.7</v>
          </cell>
          <cell r="L93">
            <v>103.1</v>
          </cell>
          <cell r="M93">
            <v>14.6</v>
          </cell>
          <cell r="N93">
            <v>12.1</v>
          </cell>
          <cell r="O93">
            <v>97.1</v>
          </cell>
          <cell r="P93">
            <v>89.9</v>
          </cell>
          <cell r="Q93">
            <v>7.2</v>
          </cell>
        </row>
        <row r="94">
          <cell r="C94" t="str">
            <v>医療，福祉</v>
          </cell>
          <cell r="F94">
            <v>18.7</v>
          </cell>
          <cell r="G94">
            <v>138.80000000000001</v>
          </cell>
          <cell r="H94">
            <v>134.30000000000001</v>
          </cell>
          <cell r="I94">
            <v>4.5</v>
          </cell>
          <cell r="J94">
            <v>19.899999999999999</v>
          </cell>
          <cell r="K94">
            <v>151.30000000000001</v>
          </cell>
          <cell r="L94">
            <v>147</v>
          </cell>
          <cell r="M94">
            <v>4.3</v>
          </cell>
          <cell r="N94">
            <v>18.399999999999999</v>
          </cell>
          <cell r="O94">
            <v>135</v>
          </cell>
          <cell r="P94">
            <v>130.4</v>
          </cell>
          <cell r="Q94">
            <v>4.5999999999999996</v>
          </cell>
        </row>
        <row r="95">
          <cell r="C95" t="str">
            <v>複合サービス事業</v>
          </cell>
          <cell r="F95">
            <v>19.600000000000001</v>
          </cell>
          <cell r="G95">
            <v>151</v>
          </cell>
          <cell r="H95">
            <v>146.4</v>
          </cell>
          <cell r="I95">
            <v>4.5999999999999996</v>
          </cell>
          <cell r="J95">
            <v>19.899999999999999</v>
          </cell>
          <cell r="K95">
            <v>157.69999999999999</v>
          </cell>
          <cell r="L95">
            <v>152.30000000000001</v>
          </cell>
          <cell r="M95">
            <v>5.4</v>
          </cell>
          <cell r="N95">
            <v>19.2</v>
          </cell>
          <cell r="O95">
            <v>139</v>
          </cell>
          <cell r="P95">
            <v>135.9</v>
          </cell>
          <cell r="Q95">
            <v>3.1</v>
          </cell>
        </row>
        <row r="96">
          <cell r="C96" t="str">
            <v>サービス業（他に分類されないもの）</v>
          </cell>
          <cell r="F96">
            <v>18.899999999999999</v>
          </cell>
          <cell r="G96">
            <v>143</v>
          </cell>
          <cell r="H96">
            <v>135.1</v>
          </cell>
          <cell r="I96">
            <v>7.9</v>
          </cell>
          <cell r="J96">
            <v>19.2</v>
          </cell>
          <cell r="K96">
            <v>155.5</v>
          </cell>
          <cell r="L96">
            <v>144.5</v>
          </cell>
          <cell r="M96">
            <v>11</v>
          </cell>
          <cell r="N96">
            <v>18.7</v>
          </cell>
          <cell r="O96">
            <v>127.7</v>
          </cell>
          <cell r="P96">
            <v>123.6</v>
          </cell>
          <cell r="Q96">
            <v>4.0999999999999996</v>
          </cell>
        </row>
        <row r="97">
          <cell r="C97" t="str">
            <v>食料品・たばこ</v>
          </cell>
          <cell r="F97">
            <v>17.399999999999999</v>
          </cell>
          <cell r="G97">
            <v>138.5</v>
          </cell>
          <cell r="H97">
            <v>129.4</v>
          </cell>
          <cell r="I97">
            <v>9.1</v>
          </cell>
          <cell r="J97">
            <v>18.8</v>
          </cell>
          <cell r="K97">
            <v>155.9</v>
          </cell>
          <cell r="L97">
            <v>142.80000000000001</v>
          </cell>
          <cell r="M97">
            <v>13.1</v>
          </cell>
          <cell r="N97">
            <v>16.5</v>
          </cell>
          <cell r="O97">
            <v>126.8</v>
          </cell>
          <cell r="P97">
            <v>120.4</v>
          </cell>
          <cell r="Q97">
            <v>6.4</v>
          </cell>
        </row>
        <row r="98">
          <cell r="C98" t="str">
            <v>繊維工業</v>
          </cell>
          <cell r="F98">
            <v>18.7</v>
          </cell>
          <cell r="G98">
            <v>153.69999999999999</v>
          </cell>
          <cell r="H98">
            <v>139.4</v>
          </cell>
          <cell r="I98">
            <v>14.3</v>
          </cell>
          <cell r="J98">
            <v>19.399999999999999</v>
          </cell>
          <cell r="K98">
            <v>158.69999999999999</v>
          </cell>
          <cell r="L98">
            <v>143.19999999999999</v>
          </cell>
          <cell r="M98">
            <v>15.5</v>
          </cell>
          <cell r="N98">
            <v>18.3</v>
          </cell>
          <cell r="O98">
            <v>150.80000000000001</v>
          </cell>
          <cell r="P98">
            <v>137.30000000000001</v>
          </cell>
          <cell r="Q98">
            <v>13.5</v>
          </cell>
        </row>
        <row r="99">
          <cell r="C99" t="str">
            <v>木材・木製品</v>
          </cell>
          <cell r="F99">
            <v>18.3</v>
          </cell>
          <cell r="G99">
            <v>145.1</v>
          </cell>
          <cell r="H99">
            <v>137.80000000000001</v>
          </cell>
          <cell r="I99">
            <v>7.3</v>
          </cell>
          <cell r="J99">
            <v>18.3</v>
          </cell>
          <cell r="K99">
            <v>149.9</v>
          </cell>
          <cell r="L99">
            <v>141.19999999999999</v>
          </cell>
          <cell r="M99">
            <v>8.6999999999999993</v>
          </cell>
          <cell r="N99">
            <v>18</v>
          </cell>
          <cell r="O99">
            <v>131</v>
          </cell>
          <cell r="P99">
            <v>127.7</v>
          </cell>
          <cell r="Q99">
            <v>3.3</v>
          </cell>
        </row>
        <row r="100">
          <cell r="C100" t="str">
            <v>家具・装備品</v>
          </cell>
          <cell r="F100" t="str">
            <v>#19</v>
          </cell>
          <cell r="G100" t="str">
            <v>#142.9</v>
          </cell>
          <cell r="H100" t="str">
            <v>#142.9</v>
          </cell>
          <cell r="I100" t="str">
            <v>#0</v>
          </cell>
          <cell r="J100" t="str">
            <v>#19.3</v>
          </cell>
          <cell r="K100" t="str">
            <v>#149.5</v>
          </cell>
          <cell r="L100" t="str">
            <v>#149.5</v>
          </cell>
          <cell r="M100" t="str">
            <v>#0</v>
          </cell>
          <cell r="N100" t="str">
            <v>#18.3</v>
          </cell>
          <cell r="O100" t="str">
            <v>#127.8</v>
          </cell>
          <cell r="P100" t="str">
            <v>#127.8</v>
          </cell>
          <cell r="Q100" t="str">
            <v>#0</v>
          </cell>
        </row>
        <row r="101">
          <cell r="C101" t="str">
            <v>パルプ・紙</v>
          </cell>
          <cell r="F101">
            <v>19</v>
          </cell>
          <cell r="G101">
            <v>147.4</v>
          </cell>
          <cell r="H101">
            <v>138.5</v>
          </cell>
          <cell r="I101">
            <v>8.9</v>
          </cell>
          <cell r="J101">
            <v>19.100000000000001</v>
          </cell>
          <cell r="K101">
            <v>150.1</v>
          </cell>
          <cell r="L101">
            <v>139</v>
          </cell>
          <cell r="M101">
            <v>11.1</v>
          </cell>
          <cell r="N101">
            <v>18.600000000000001</v>
          </cell>
          <cell r="O101">
            <v>138.30000000000001</v>
          </cell>
          <cell r="P101">
            <v>136.69999999999999</v>
          </cell>
          <cell r="Q101">
            <v>1.6</v>
          </cell>
        </row>
        <row r="102">
          <cell r="C102" t="str">
            <v>印刷・同関連業</v>
          </cell>
          <cell r="F102">
            <v>20.399999999999999</v>
          </cell>
          <cell r="G102">
            <v>164</v>
          </cell>
          <cell r="H102">
            <v>157.30000000000001</v>
          </cell>
          <cell r="I102">
            <v>6.7</v>
          </cell>
          <cell r="J102">
            <v>20.399999999999999</v>
          </cell>
          <cell r="K102">
            <v>165.3</v>
          </cell>
          <cell r="L102">
            <v>156.9</v>
          </cell>
          <cell r="M102">
            <v>8.4</v>
          </cell>
          <cell r="N102">
            <v>20.399999999999999</v>
          </cell>
          <cell r="O102">
            <v>161</v>
          </cell>
          <cell r="P102">
            <v>158.30000000000001</v>
          </cell>
          <cell r="Q102">
            <v>2.7</v>
          </cell>
        </row>
        <row r="103">
          <cell r="C103" t="str">
            <v>化学、石油・石炭</v>
          </cell>
          <cell r="F103">
            <v>19.399999999999999</v>
          </cell>
          <cell r="G103">
            <v>159.1</v>
          </cell>
          <cell r="H103">
            <v>140.9</v>
          </cell>
          <cell r="I103">
            <v>18.2</v>
          </cell>
          <cell r="J103">
            <v>19.600000000000001</v>
          </cell>
          <cell r="K103">
            <v>161</v>
          </cell>
          <cell r="L103">
            <v>141.69999999999999</v>
          </cell>
          <cell r="M103">
            <v>19.3</v>
          </cell>
          <cell r="N103">
            <v>17.7</v>
          </cell>
          <cell r="O103">
            <v>138.6</v>
          </cell>
          <cell r="P103">
            <v>132.19999999999999</v>
          </cell>
          <cell r="Q103">
            <v>6.4</v>
          </cell>
        </row>
        <row r="104">
          <cell r="C104" t="str">
            <v>プラスチック製品</v>
          </cell>
          <cell r="F104">
            <v>18.5</v>
          </cell>
          <cell r="G104">
            <v>138.80000000000001</v>
          </cell>
          <cell r="H104">
            <v>132.1</v>
          </cell>
          <cell r="I104">
            <v>6.7</v>
          </cell>
          <cell r="J104">
            <v>18.8</v>
          </cell>
          <cell r="K104">
            <v>153</v>
          </cell>
          <cell r="L104">
            <v>143.4</v>
          </cell>
          <cell r="M104">
            <v>9.6</v>
          </cell>
          <cell r="N104">
            <v>17.7</v>
          </cell>
          <cell r="O104">
            <v>109.4</v>
          </cell>
          <cell r="P104">
            <v>108.5</v>
          </cell>
          <cell r="Q104">
            <v>0.9</v>
          </cell>
        </row>
        <row r="105">
          <cell r="C105" t="str">
            <v>ゴム製品</v>
          </cell>
          <cell r="F105">
            <v>17.100000000000001</v>
          </cell>
          <cell r="G105">
            <v>147.80000000000001</v>
          </cell>
          <cell r="H105">
            <v>126</v>
          </cell>
          <cell r="I105">
            <v>21.8</v>
          </cell>
          <cell r="J105">
            <v>17.100000000000001</v>
          </cell>
          <cell r="K105">
            <v>149.1</v>
          </cell>
          <cell r="L105">
            <v>125.1</v>
          </cell>
          <cell r="M105">
            <v>24</v>
          </cell>
          <cell r="N105">
            <v>17</v>
          </cell>
          <cell r="O105">
            <v>138.9</v>
          </cell>
          <cell r="P105">
            <v>131.6</v>
          </cell>
          <cell r="Q105">
            <v>7.3</v>
          </cell>
        </row>
        <row r="106">
          <cell r="C106" t="str">
            <v>窯業・土石製品</v>
          </cell>
          <cell r="F106">
            <v>16.2</v>
          </cell>
          <cell r="G106">
            <v>131.9</v>
          </cell>
          <cell r="H106">
            <v>126.9</v>
          </cell>
          <cell r="I106">
            <v>5</v>
          </cell>
          <cell r="J106">
            <v>16.100000000000001</v>
          </cell>
          <cell r="K106">
            <v>133.9</v>
          </cell>
          <cell r="L106">
            <v>127.7</v>
          </cell>
          <cell r="M106">
            <v>6.2</v>
          </cell>
          <cell r="N106">
            <v>16.3</v>
          </cell>
          <cell r="O106">
            <v>124.8</v>
          </cell>
          <cell r="P106">
            <v>124.3</v>
          </cell>
          <cell r="Q106">
            <v>0.5</v>
          </cell>
        </row>
        <row r="107">
          <cell r="C107" t="str">
            <v>鉄鋼業</v>
          </cell>
          <cell r="F107" t="str">
            <v>#17.6</v>
          </cell>
          <cell r="G107" t="str">
            <v>#163.5</v>
          </cell>
          <cell r="H107" t="str">
            <v>#138</v>
          </cell>
          <cell r="I107" t="str">
            <v>#25.5</v>
          </cell>
          <cell r="J107" t="str">
            <v>#17.7</v>
          </cell>
          <cell r="K107" t="str">
            <v>#164.8</v>
          </cell>
          <cell r="L107" t="str">
            <v>#138.6</v>
          </cell>
          <cell r="M107" t="str">
            <v>#26.2</v>
          </cell>
          <cell r="N107" t="str">
            <v>#16.4</v>
          </cell>
          <cell r="O107" t="str">
            <v>#146.2</v>
          </cell>
          <cell r="P107" t="str">
            <v>#129.6</v>
          </cell>
          <cell r="Q107" t="str">
            <v>#16.6</v>
          </cell>
        </row>
        <row r="108">
          <cell r="C108" t="str">
            <v>非鉄金属製造業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  <cell r="Q108" t="str">
            <v>-</v>
          </cell>
        </row>
        <row r="109">
          <cell r="C109" t="str">
            <v>金属製品製造業</v>
          </cell>
          <cell r="F109">
            <v>19.3</v>
          </cell>
          <cell r="G109">
            <v>152.1</v>
          </cell>
          <cell r="H109">
            <v>141.80000000000001</v>
          </cell>
          <cell r="I109">
            <v>10.3</v>
          </cell>
          <cell r="J109">
            <v>19.3</v>
          </cell>
          <cell r="K109">
            <v>161</v>
          </cell>
          <cell r="L109">
            <v>147</v>
          </cell>
          <cell r="M109">
            <v>14</v>
          </cell>
          <cell r="N109">
            <v>19.2</v>
          </cell>
          <cell r="O109">
            <v>138</v>
          </cell>
          <cell r="P109">
            <v>133.6</v>
          </cell>
          <cell r="Q109">
            <v>4.4000000000000004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16.2</v>
          </cell>
          <cell r="G112">
            <v>138.4</v>
          </cell>
          <cell r="H112">
            <v>128.30000000000001</v>
          </cell>
          <cell r="I112">
            <v>10.1</v>
          </cell>
          <cell r="J112">
            <v>16.5</v>
          </cell>
          <cell r="K112">
            <v>141.30000000000001</v>
          </cell>
          <cell r="L112">
            <v>129.4</v>
          </cell>
          <cell r="M112">
            <v>11.9</v>
          </cell>
          <cell r="N112">
            <v>16</v>
          </cell>
          <cell r="O112">
            <v>135.80000000000001</v>
          </cell>
          <cell r="P112">
            <v>127.3</v>
          </cell>
          <cell r="Q112">
            <v>8.5</v>
          </cell>
        </row>
        <row r="113">
          <cell r="C113" t="str">
            <v>電子・デバイス</v>
          </cell>
          <cell r="F113">
            <v>17.600000000000001</v>
          </cell>
          <cell r="G113">
            <v>149.9</v>
          </cell>
          <cell r="H113">
            <v>137.30000000000001</v>
          </cell>
          <cell r="I113">
            <v>12.6</v>
          </cell>
          <cell r="J113">
            <v>17.899999999999999</v>
          </cell>
          <cell r="K113">
            <v>158.19999999999999</v>
          </cell>
          <cell r="L113">
            <v>142.30000000000001</v>
          </cell>
          <cell r="M113">
            <v>15.9</v>
          </cell>
          <cell r="N113">
            <v>17</v>
          </cell>
          <cell r="O113">
            <v>134.1</v>
          </cell>
          <cell r="P113">
            <v>127.8</v>
          </cell>
          <cell r="Q113">
            <v>6.3</v>
          </cell>
        </row>
        <row r="114">
          <cell r="C114" t="str">
            <v>電気機械器具</v>
          </cell>
          <cell r="F114">
            <v>17.8</v>
          </cell>
          <cell r="G114">
            <v>144.5</v>
          </cell>
          <cell r="H114">
            <v>136.69999999999999</v>
          </cell>
          <cell r="I114">
            <v>7.8</v>
          </cell>
          <cell r="J114">
            <v>18.5</v>
          </cell>
          <cell r="K114">
            <v>152.4</v>
          </cell>
          <cell r="L114">
            <v>142.6</v>
          </cell>
          <cell r="M114">
            <v>9.8000000000000007</v>
          </cell>
          <cell r="N114">
            <v>16.100000000000001</v>
          </cell>
          <cell r="O114">
            <v>124.4</v>
          </cell>
          <cell r="P114">
            <v>121.7</v>
          </cell>
          <cell r="Q114">
            <v>2.7</v>
          </cell>
        </row>
        <row r="115">
          <cell r="C115" t="str">
            <v>情報通信機械器具</v>
          </cell>
          <cell r="F115">
            <v>17.5</v>
          </cell>
          <cell r="G115">
            <v>154</v>
          </cell>
          <cell r="H115">
            <v>147.19999999999999</v>
          </cell>
          <cell r="I115">
            <v>6.8</v>
          </cell>
          <cell r="J115">
            <v>17.600000000000001</v>
          </cell>
          <cell r="K115">
            <v>152.5</v>
          </cell>
          <cell r="L115">
            <v>145.4</v>
          </cell>
          <cell r="M115">
            <v>7.1</v>
          </cell>
          <cell r="N115">
            <v>17.399999999999999</v>
          </cell>
          <cell r="O115">
            <v>155.6</v>
          </cell>
          <cell r="P115">
            <v>149.1</v>
          </cell>
          <cell r="Q115">
            <v>6.5</v>
          </cell>
        </row>
        <row r="116">
          <cell r="C116" t="str">
            <v>輸送用機械器具</v>
          </cell>
          <cell r="F116">
            <v>16.399999999999999</v>
          </cell>
          <cell r="G116">
            <v>152.19999999999999</v>
          </cell>
          <cell r="H116">
            <v>130.6</v>
          </cell>
          <cell r="I116">
            <v>21.6</v>
          </cell>
          <cell r="J116">
            <v>16.399999999999999</v>
          </cell>
          <cell r="K116">
            <v>156.1</v>
          </cell>
          <cell r="L116">
            <v>132.19999999999999</v>
          </cell>
          <cell r="M116">
            <v>23.9</v>
          </cell>
          <cell r="N116">
            <v>16.3</v>
          </cell>
          <cell r="O116">
            <v>138</v>
          </cell>
          <cell r="P116">
            <v>124.5</v>
          </cell>
          <cell r="Q116">
            <v>13.5</v>
          </cell>
        </row>
        <row r="117">
          <cell r="C117" t="str">
            <v>その他の製造業</v>
          </cell>
          <cell r="F117">
            <v>19.5</v>
          </cell>
          <cell r="G117">
            <v>166.6</v>
          </cell>
          <cell r="H117">
            <v>144.5</v>
          </cell>
          <cell r="I117">
            <v>22.1</v>
          </cell>
          <cell r="J117">
            <v>19.899999999999999</v>
          </cell>
          <cell r="K117">
            <v>175.4</v>
          </cell>
          <cell r="L117">
            <v>147.69999999999999</v>
          </cell>
          <cell r="M117">
            <v>27.7</v>
          </cell>
          <cell r="N117">
            <v>18.2</v>
          </cell>
          <cell r="O117">
            <v>134.19999999999999</v>
          </cell>
          <cell r="P117">
            <v>132.6</v>
          </cell>
          <cell r="Q117">
            <v>1.6</v>
          </cell>
        </row>
        <row r="118">
          <cell r="C118" t="str">
            <v>Ｅ一括分１</v>
          </cell>
          <cell r="F118">
            <v>20.100000000000001</v>
          </cell>
          <cell r="G118">
            <v>169.7</v>
          </cell>
          <cell r="H118">
            <v>151.30000000000001</v>
          </cell>
          <cell r="I118">
            <v>18.399999999999999</v>
          </cell>
          <cell r="J118">
            <v>20.6</v>
          </cell>
          <cell r="K118">
            <v>174.6</v>
          </cell>
          <cell r="L118">
            <v>152.80000000000001</v>
          </cell>
          <cell r="M118">
            <v>21.8</v>
          </cell>
          <cell r="N118">
            <v>18.5</v>
          </cell>
          <cell r="O118">
            <v>151.9</v>
          </cell>
          <cell r="P118">
            <v>145.6</v>
          </cell>
          <cell r="Q118">
            <v>6.3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19.5</v>
          </cell>
          <cell r="G121">
            <v>163.4</v>
          </cell>
          <cell r="H121">
            <v>153.19999999999999</v>
          </cell>
          <cell r="I121">
            <v>10.199999999999999</v>
          </cell>
          <cell r="J121">
            <v>20</v>
          </cell>
          <cell r="K121">
            <v>172.4</v>
          </cell>
          <cell r="L121">
            <v>160.19999999999999</v>
          </cell>
          <cell r="M121">
            <v>12.2</v>
          </cell>
          <cell r="N121">
            <v>17.899999999999999</v>
          </cell>
          <cell r="O121">
            <v>135.1</v>
          </cell>
          <cell r="P121">
            <v>131.1</v>
          </cell>
          <cell r="Q121">
            <v>4</v>
          </cell>
        </row>
        <row r="122">
          <cell r="C122" t="str">
            <v>小売業</v>
          </cell>
          <cell r="F122">
            <v>17.100000000000001</v>
          </cell>
          <cell r="G122">
            <v>120.6</v>
          </cell>
          <cell r="H122">
            <v>112.7</v>
          </cell>
          <cell r="I122">
            <v>7.9</v>
          </cell>
          <cell r="J122">
            <v>17.600000000000001</v>
          </cell>
          <cell r="K122">
            <v>137.5</v>
          </cell>
          <cell r="L122">
            <v>124.2</v>
          </cell>
          <cell r="M122">
            <v>13.3</v>
          </cell>
          <cell r="N122">
            <v>16.7</v>
          </cell>
          <cell r="O122">
            <v>107.2</v>
          </cell>
          <cell r="P122">
            <v>103.6</v>
          </cell>
          <cell r="Q122">
            <v>3.6</v>
          </cell>
        </row>
        <row r="123">
          <cell r="C123" t="str">
            <v>宿泊業</v>
          </cell>
          <cell r="F123">
            <v>18.399999999999999</v>
          </cell>
          <cell r="G123">
            <v>121.5</v>
          </cell>
          <cell r="H123">
            <v>114.7</v>
          </cell>
          <cell r="I123">
            <v>6.8</v>
          </cell>
          <cell r="J123">
            <v>19.100000000000001</v>
          </cell>
          <cell r="K123">
            <v>138</v>
          </cell>
          <cell r="L123">
            <v>127.3</v>
          </cell>
          <cell r="M123">
            <v>10.7</v>
          </cell>
          <cell r="N123">
            <v>18</v>
          </cell>
          <cell r="O123">
            <v>112.5</v>
          </cell>
          <cell r="P123">
            <v>107.9</v>
          </cell>
          <cell r="Q123">
            <v>4.5999999999999996</v>
          </cell>
        </row>
        <row r="124">
          <cell r="C124" t="str">
            <v>Ｍ一括分</v>
          </cell>
          <cell r="F124">
            <v>13.9</v>
          </cell>
          <cell r="G124">
            <v>77.900000000000006</v>
          </cell>
          <cell r="H124">
            <v>74.7</v>
          </cell>
          <cell r="I124">
            <v>3.2</v>
          </cell>
          <cell r="J124">
            <v>16.3</v>
          </cell>
          <cell r="K124">
            <v>96.8</v>
          </cell>
          <cell r="L124">
            <v>89.4</v>
          </cell>
          <cell r="M124">
            <v>7.4</v>
          </cell>
          <cell r="N124">
            <v>12.6</v>
          </cell>
          <cell r="O124">
            <v>66.599999999999994</v>
          </cell>
          <cell r="P124">
            <v>66</v>
          </cell>
          <cell r="Q124">
            <v>0.6</v>
          </cell>
        </row>
        <row r="125">
          <cell r="C125" t="str">
            <v>医療業</v>
          </cell>
          <cell r="F125">
            <v>19.3</v>
          </cell>
          <cell r="G125">
            <v>141.4</v>
          </cell>
          <cell r="H125">
            <v>136.6</v>
          </cell>
          <cell r="I125">
            <v>4.8</v>
          </cell>
          <cell r="J125">
            <v>20.3</v>
          </cell>
          <cell r="K125">
            <v>153.4</v>
          </cell>
          <cell r="L125">
            <v>147.6</v>
          </cell>
          <cell r="M125">
            <v>5.8</v>
          </cell>
          <cell r="N125">
            <v>19.100000000000001</v>
          </cell>
          <cell r="O125">
            <v>138.19999999999999</v>
          </cell>
          <cell r="P125">
            <v>133.69999999999999</v>
          </cell>
          <cell r="Q125">
            <v>4.5</v>
          </cell>
        </row>
        <row r="126">
          <cell r="C126" t="str">
            <v>Ｐ一括分</v>
          </cell>
          <cell r="F126">
            <v>18.2</v>
          </cell>
          <cell r="G126">
            <v>136.6</v>
          </cell>
          <cell r="H126">
            <v>132.30000000000001</v>
          </cell>
          <cell r="I126">
            <v>4.3</v>
          </cell>
          <cell r="J126">
            <v>19.600000000000001</v>
          </cell>
          <cell r="K126">
            <v>149.9</v>
          </cell>
          <cell r="L126">
            <v>146.6</v>
          </cell>
          <cell r="M126">
            <v>3.3</v>
          </cell>
          <cell r="N126">
            <v>17.7</v>
          </cell>
          <cell r="O126">
            <v>132</v>
          </cell>
          <cell r="P126">
            <v>127.4</v>
          </cell>
          <cell r="Q126">
            <v>4.5999999999999996</v>
          </cell>
        </row>
        <row r="127">
          <cell r="C127" t="str">
            <v>職業紹介・派遣業</v>
          </cell>
          <cell r="F127">
            <v>17.600000000000001</v>
          </cell>
          <cell r="G127">
            <v>143.30000000000001</v>
          </cell>
          <cell r="H127">
            <v>135.9</v>
          </cell>
          <cell r="I127">
            <v>7.4</v>
          </cell>
          <cell r="J127">
            <v>17.399999999999999</v>
          </cell>
          <cell r="K127">
            <v>153.6</v>
          </cell>
          <cell r="L127">
            <v>141.80000000000001</v>
          </cell>
          <cell r="M127">
            <v>11.8</v>
          </cell>
          <cell r="N127">
            <v>17.8</v>
          </cell>
          <cell r="O127">
            <v>135.19999999999999</v>
          </cell>
          <cell r="P127">
            <v>131.30000000000001</v>
          </cell>
          <cell r="Q127">
            <v>3.9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19.2</v>
          </cell>
          <cell r="G129">
            <v>142.9</v>
          </cell>
          <cell r="H129">
            <v>134.9</v>
          </cell>
          <cell r="I129">
            <v>8</v>
          </cell>
          <cell r="J129">
            <v>19.399999999999999</v>
          </cell>
          <cell r="K129">
            <v>155.69999999999999</v>
          </cell>
          <cell r="L129">
            <v>144.80000000000001</v>
          </cell>
          <cell r="M129">
            <v>10.9</v>
          </cell>
          <cell r="N129">
            <v>18.899999999999999</v>
          </cell>
          <cell r="O129">
            <v>126</v>
          </cell>
          <cell r="P129">
            <v>121.9</v>
          </cell>
          <cell r="Q129">
            <v>4.0999999999999996</v>
          </cell>
        </row>
        <row r="130">
          <cell r="C130" t="str">
            <v>特掲産業１</v>
          </cell>
          <cell r="F130" t="str">
            <v>#14.1</v>
          </cell>
          <cell r="G130" t="str">
            <v>#109.7</v>
          </cell>
          <cell r="H130" t="str">
            <v>#105.4</v>
          </cell>
          <cell r="I130" t="str">
            <v>#4.3</v>
          </cell>
          <cell r="J130" t="str">
            <v>#13.9</v>
          </cell>
          <cell r="K130" t="str">
            <v>#110.1</v>
          </cell>
          <cell r="L130" t="str">
            <v>#105.3</v>
          </cell>
          <cell r="M130" t="str">
            <v>#4.8</v>
          </cell>
          <cell r="N130" t="str">
            <v>#14.7</v>
          </cell>
          <cell r="O130" t="str">
            <v>#108.8</v>
          </cell>
          <cell r="P130" t="str">
            <v>#105.4</v>
          </cell>
          <cell r="Q130" t="str">
            <v>#3.4</v>
          </cell>
        </row>
        <row r="131">
          <cell r="C131" t="str">
            <v>特掲産業２</v>
          </cell>
          <cell r="F131">
            <v>20.3</v>
          </cell>
          <cell r="G131">
            <v>167.6</v>
          </cell>
          <cell r="H131">
            <v>152.5</v>
          </cell>
          <cell r="I131">
            <v>15.1</v>
          </cell>
          <cell r="J131">
            <v>20.2</v>
          </cell>
          <cell r="K131">
            <v>172</v>
          </cell>
          <cell r="L131">
            <v>154.30000000000001</v>
          </cell>
          <cell r="M131">
            <v>17.7</v>
          </cell>
          <cell r="N131">
            <v>20.3</v>
          </cell>
          <cell r="O131">
            <v>154</v>
          </cell>
          <cell r="P131">
            <v>147</v>
          </cell>
          <cell r="Q131">
            <v>7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4.8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>
        <row r="9">
          <cell r="E9">
            <v>239897</v>
          </cell>
        </row>
      </sheetData>
      <sheetData sheetId="17">
        <row r="9">
          <cell r="E9">
            <v>17.7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9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1194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18.7</v>
          </cell>
          <cell r="G10">
            <v>145.30000000000001</v>
          </cell>
          <cell r="H10">
            <v>134.80000000000001</v>
          </cell>
          <cell r="I10">
            <v>10.5</v>
          </cell>
          <cell r="J10">
            <v>19.3</v>
          </cell>
          <cell r="K10">
            <v>159.1</v>
          </cell>
          <cell r="L10">
            <v>144.19999999999999</v>
          </cell>
          <cell r="M10">
            <v>14.9</v>
          </cell>
          <cell r="N10">
            <v>18.2</v>
          </cell>
          <cell r="O10">
            <v>131.9</v>
          </cell>
          <cell r="P10">
            <v>125.7</v>
          </cell>
          <cell r="Q10">
            <v>6.2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21.1</v>
          </cell>
          <cell r="G12">
            <v>167.6</v>
          </cell>
          <cell r="H12">
            <v>158.6</v>
          </cell>
          <cell r="I12">
            <v>9</v>
          </cell>
          <cell r="J12">
            <v>21</v>
          </cell>
          <cell r="K12">
            <v>168.1</v>
          </cell>
          <cell r="L12">
            <v>158.4</v>
          </cell>
          <cell r="M12">
            <v>9.6999999999999993</v>
          </cell>
          <cell r="N12">
            <v>21.5</v>
          </cell>
          <cell r="O12">
            <v>165.7</v>
          </cell>
          <cell r="P12">
            <v>159.30000000000001</v>
          </cell>
          <cell r="Q12">
            <v>6.4</v>
          </cell>
        </row>
        <row r="13">
          <cell r="C13" t="str">
            <v>製造業</v>
          </cell>
          <cell r="F13">
            <v>19.7</v>
          </cell>
          <cell r="G13">
            <v>162.4</v>
          </cell>
          <cell r="H13">
            <v>149.5</v>
          </cell>
          <cell r="I13">
            <v>12.9</v>
          </cell>
          <cell r="J13">
            <v>20</v>
          </cell>
          <cell r="K13">
            <v>169.9</v>
          </cell>
          <cell r="L13">
            <v>153.69999999999999</v>
          </cell>
          <cell r="M13">
            <v>16.2</v>
          </cell>
          <cell r="N13">
            <v>19.3</v>
          </cell>
          <cell r="O13">
            <v>150</v>
          </cell>
          <cell r="P13">
            <v>142.5</v>
          </cell>
          <cell r="Q13">
            <v>7.5</v>
          </cell>
        </row>
        <row r="14">
          <cell r="C14" t="str">
            <v>電気・ガス・熱供給・水道業</v>
          </cell>
          <cell r="F14">
            <v>18.3</v>
          </cell>
          <cell r="G14">
            <v>151.4</v>
          </cell>
          <cell r="H14">
            <v>134.19999999999999</v>
          </cell>
          <cell r="I14">
            <v>17.2</v>
          </cell>
          <cell r="J14">
            <v>18.3</v>
          </cell>
          <cell r="K14">
            <v>155.30000000000001</v>
          </cell>
          <cell r="L14">
            <v>136</v>
          </cell>
          <cell r="M14">
            <v>19.3</v>
          </cell>
          <cell r="N14">
            <v>18</v>
          </cell>
          <cell r="O14">
            <v>127.7</v>
          </cell>
          <cell r="P14">
            <v>123.1</v>
          </cell>
          <cell r="Q14">
            <v>4.5999999999999996</v>
          </cell>
        </row>
        <row r="15">
          <cell r="C15" t="str">
            <v>情報通信業</v>
          </cell>
          <cell r="F15">
            <v>18.899999999999999</v>
          </cell>
          <cell r="G15">
            <v>153.9</v>
          </cell>
          <cell r="H15">
            <v>140.9</v>
          </cell>
          <cell r="I15">
            <v>13</v>
          </cell>
          <cell r="J15">
            <v>19</v>
          </cell>
          <cell r="K15">
            <v>155.5</v>
          </cell>
          <cell r="L15">
            <v>142.5</v>
          </cell>
          <cell r="M15">
            <v>13</v>
          </cell>
          <cell r="N15">
            <v>18.600000000000001</v>
          </cell>
          <cell r="O15">
            <v>150.4</v>
          </cell>
          <cell r="P15">
            <v>137.5</v>
          </cell>
          <cell r="Q15">
            <v>12.9</v>
          </cell>
        </row>
        <row r="16">
          <cell r="C16" t="str">
            <v>運輸業，郵便業</v>
          </cell>
          <cell r="F16">
            <v>20.100000000000001</v>
          </cell>
          <cell r="G16">
            <v>171.2</v>
          </cell>
          <cell r="H16">
            <v>148.1</v>
          </cell>
          <cell r="I16">
            <v>23.1</v>
          </cell>
          <cell r="J16">
            <v>20.3</v>
          </cell>
          <cell r="K16">
            <v>176.2</v>
          </cell>
          <cell r="L16">
            <v>150.1</v>
          </cell>
          <cell r="M16">
            <v>26.1</v>
          </cell>
          <cell r="N16">
            <v>19.2</v>
          </cell>
          <cell r="O16">
            <v>145.1</v>
          </cell>
          <cell r="P16">
            <v>137.6</v>
          </cell>
          <cell r="Q16">
            <v>7.5</v>
          </cell>
        </row>
        <row r="17">
          <cell r="C17" t="str">
            <v>卸売業，小売業</v>
          </cell>
          <cell r="F17">
            <v>17.899999999999999</v>
          </cell>
          <cell r="G17">
            <v>124.7</v>
          </cell>
          <cell r="H17">
            <v>117.8</v>
          </cell>
          <cell r="I17">
            <v>6.9</v>
          </cell>
          <cell r="J17">
            <v>18.7</v>
          </cell>
          <cell r="K17">
            <v>146.19999999999999</v>
          </cell>
          <cell r="L17">
            <v>135.1</v>
          </cell>
          <cell r="M17">
            <v>11.1</v>
          </cell>
          <cell r="N17">
            <v>17.3</v>
          </cell>
          <cell r="O17">
            <v>109.1</v>
          </cell>
          <cell r="P17">
            <v>105.3</v>
          </cell>
          <cell r="Q17">
            <v>3.8</v>
          </cell>
        </row>
        <row r="18">
          <cell r="C18" t="str">
            <v>金融業，保険業</v>
          </cell>
          <cell r="F18">
            <v>18.7</v>
          </cell>
          <cell r="G18">
            <v>134.30000000000001</v>
          </cell>
          <cell r="H18">
            <v>129.5</v>
          </cell>
          <cell r="I18">
            <v>4.8</v>
          </cell>
          <cell r="J18">
            <v>18.8</v>
          </cell>
          <cell r="K18">
            <v>137.19999999999999</v>
          </cell>
          <cell r="L18">
            <v>133.30000000000001</v>
          </cell>
          <cell r="M18">
            <v>3.9</v>
          </cell>
          <cell r="N18">
            <v>18.600000000000001</v>
          </cell>
          <cell r="O18">
            <v>132.1</v>
          </cell>
          <cell r="P18">
            <v>126.5</v>
          </cell>
          <cell r="Q18">
            <v>5.6</v>
          </cell>
        </row>
        <row r="19">
          <cell r="C19" t="str">
            <v>不動産業，物品賃貸業</v>
          </cell>
          <cell r="F19">
            <v>20</v>
          </cell>
          <cell r="G19">
            <v>154.5</v>
          </cell>
          <cell r="H19">
            <v>150.4</v>
          </cell>
          <cell r="I19">
            <v>4.0999999999999996</v>
          </cell>
          <cell r="J19">
            <v>20.7</v>
          </cell>
          <cell r="K19">
            <v>167.5</v>
          </cell>
          <cell r="L19">
            <v>161.80000000000001</v>
          </cell>
          <cell r="M19">
            <v>5.7</v>
          </cell>
          <cell r="N19">
            <v>18.8</v>
          </cell>
          <cell r="O19">
            <v>131.5</v>
          </cell>
          <cell r="P19">
            <v>130.1</v>
          </cell>
          <cell r="Q19">
            <v>1.4</v>
          </cell>
        </row>
        <row r="20">
          <cell r="C20" t="str">
            <v>学術研究，専門・技術サービス業</v>
          </cell>
          <cell r="F20">
            <v>18.5</v>
          </cell>
          <cell r="G20">
            <v>145.9</v>
          </cell>
          <cell r="H20">
            <v>139</v>
          </cell>
          <cell r="I20">
            <v>6.9</v>
          </cell>
          <cell r="J20">
            <v>18.899999999999999</v>
          </cell>
          <cell r="K20">
            <v>150</v>
          </cell>
          <cell r="L20">
            <v>142.19999999999999</v>
          </cell>
          <cell r="M20">
            <v>7.8</v>
          </cell>
          <cell r="N20">
            <v>17</v>
          </cell>
          <cell r="O20">
            <v>127.4</v>
          </cell>
          <cell r="P20">
            <v>124.9</v>
          </cell>
          <cell r="Q20">
            <v>2.5</v>
          </cell>
        </row>
        <row r="21">
          <cell r="C21" t="str">
            <v>宿泊業，飲食サービス業</v>
          </cell>
          <cell r="F21">
            <v>15.2</v>
          </cell>
          <cell r="G21">
            <v>96.1</v>
          </cell>
          <cell r="H21">
            <v>91.8</v>
          </cell>
          <cell r="I21">
            <v>4.3</v>
          </cell>
          <cell r="J21">
            <v>16.2</v>
          </cell>
          <cell r="K21">
            <v>109.4</v>
          </cell>
          <cell r="L21">
            <v>102.6</v>
          </cell>
          <cell r="M21">
            <v>6.8</v>
          </cell>
          <cell r="N21">
            <v>14.7</v>
          </cell>
          <cell r="O21">
            <v>88</v>
          </cell>
          <cell r="P21">
            <v>85.2</v>
          </cell>
          <cell r="Q21">
            <v>2.8</v>
          </cell>
        </row>
        <row r="22">
          <cell r="C22" t="str">
            <v>生活関連サービス業，娯楽業</v>
          </cell>
          <cell r="F22">
            <v>16.2</v>
          </cell>
          <cell r="G22">
            <v>135.4</v>
          </cell>
          <cell r="H22">
            <v>127.9</v>
          </cell>
          <cell r="I22">
            <v>7.5</v>
          </cell>
          <cell r="J22">
            <v>16.3</v>
          </cell>
          <cell r="K22">
            <v>140.30000000000001</v>
          </cell>
          <cell r="L22">
            <v>131.69999999999999</v>
          </cell>
          <cell r="M22">
            <v>8.6</v>
          </cell>
          <cell r="N22">
            <v>16.100000000000001</v>
          </cell>
          <cell r="O22">
            <v>127.6</v>
          </cell>
          <cell r="P22">
            <v>121.9</v>
          </cell>
          <cell r="Q22">
            <v>5.7</v>
          </cell>
        </row>
        <row r="23">
          <cell r="C23" t="str">
            <v>教育，学習支援業</v>
          </cell>
          <cell r="F23">
            <v>17.899999999999999</v>
          </cell>
          <cell r="G23">
            <v>161.30000000000001</v>
          </cell>
          <cell r="H23">
            <v>133.4</v>
          </cell>
          <cell r="I23">
            <v>27.9</v>
          </cell>
          <cell r="J23">
            <v>18.399999999999999</v>
          </cell>
          <cell r="K23">
            <v>173.8</v>
          </cell>
          <cell r="L23">
            <v>138.80000000000001</v>
          </cell>
          <cell r="M23">
            <v>35</v>
          </cell>
          <cell r="N23">
            <v>17.5</v>
          </cell>
          <cell r="O23">
            <v>149.9</v>
          </cell>
          <cell r="P23">
            <v>128.4</v>
          </cell>
          <cell r="Q23">
            <v>21.5</v>
          </cell>
        </row>
        <row r="24">
          <cell r="C24" t="str">
            <v>医療，福祉</v>
          </cell>
          <cell r="F24">
            <v>18.8</v>
          </cell>
          <cell r="G24">
            <v>137.69999999999999</v>
          </cell>
          <cell r="H24">
            <v>133.30000000000001</v>
          </cell>
          <cell r="I24">
            <v>4.4000000000000004</v>
          </cell>
          <cell r="J24">
            <v>19.3</v>
          </cell>
          <cell r="K24">
            <v>148.1</v>
          </cell>
          <cell r="L24">
            <v>142.1</v>
          </cell>
          <cell r="M24">
            <v>6</v>
          </cell>
          <cell r="N24">
            <v>18.600000000000001</v>
          </cell>
          <cell r="O24">
            <v>134.1</v>
          </cell>
          <cell r="P24">
            <v>130.30000000000001</v>
          </cell>
          <cell r="Q24">
            <v>3.8</v>
          </cell>
        </row>
        <row r="25">
          <cell r="C25" t="str">
            <v>複合サービス事業</v>
          </cell>
          <cell r="F25">
            <v>19.399999999999999</v>
          </cell>
          <cell r="G25">
            <v>153.30000000000001</v>
          </cell>
          <cell r="H25">
            <v>149.19999999999999</v>
          </cell>
          <cell r="I25">
            <v>4.0999999999999996</v>
          </cell>
          <cell r="J25">
            <v>19.7</v>
          </cell>
          <cell r="K25">
            <v>159.5</v>
          </cell>
          <cell r="L25">
            <v>154.1</v>
          </cell>
          <cell r="M25">
            <v>5.4</v>
          </cell>
          <cell r="N25">
            <v>19</v>
          </cell>
          <cell r="O25">
            <v>143.6</v>
          </cell>
          <cell r="P25">
            <v>141.5</v>
          </cell>
          <cell r="Q25">
            <v>2.1</v>
          </cell>
        </row>
        <row r="26">
          <cell r="C26" t="str">
            <v>サービス業（他に分類されないもの）</v>
          </cell>
          <cell r="F26">
            <v>18.3</v>
          </cell>
          <cell r="G26">
            <v>140.9</v>
          </cell>
          <cell r="H26">
            <v>132.1</v>
          </cell>
          <cell r="I26">
            <v>8.8000000000000007</v>
          </cell>
          <cell r="J26">
            <v>18.7</v>
          </cell>
          <cell r="K26">
            <v>154.30000000000001</v>
          </cell>
          <cell r="L26">
            <v>142</v>
          </cell>
          <cell r="M26">
            <v>12.3</v>
          </cell>
          <cell r="N26">
            <v>18</v>
          </cell>
          <cell r="O26">
            <v>125.6</v>
          </cell>
          <cell r="P26">
            <v>120.8</v>
          </cell>
          <cell r="Q26">
            <v>4.8</v>
          </cell>
        </row>
        <row r="27">
          <cell r="C27" t="str">
            <v>食料品・たばこ</v>
          </cell>
          <cell r="F27">
            <v>20</v>
          </cell>
          <cell r="G27">
            <v>160.19999999999999</v>
          </cell>
          <cell r="H27">
            <v>150.19999999999999</v>
          </cell>
          <cell r="I27">
            <v>10</v>
          </cell>
          <cell r="J27">
            <v>20.7</v>
          </cell>
          <cell r="K27">
            <v>171.7</v>
          </cell>
          <cell r="L27">
            <v>158.4</v>
          </cell>
          <cell r="M27">
            <v>13.3</v>
          </cell>
          <cell r="N27">
            <v>19.399999999999999</v>
          </cell>
          <cell r="O27">
            <v>150.1</v>
          </cell>
          <cell r="P27">
            <v>143</v>
          </cell>
          <cell r="Q27">
            <v>7.1</v>
          </cell>
        </row>
        <row r="28">
          <cell r="C28" t="str">
            <v>繊維工業</v>
          </cell>
          <cell r="F28">
            <v>19.5</v>
          </cell>
          <cell r="G28">
            <v>155.6</v>
          </cell>
          <cell r="H28">
            <v>142.80000000000001</v>
          </cell>
          <cell r="I28">
            <v>12.8</v>
          </cell>
          <cell r="J28">
            <v>19.5</v>
          </cell>
          <cell r="K28">
            <v>160.1</v>
          </cell>
          <cell r="L28">
            <v>144.80000000000001</v>
          </cell>
          <cell r="M28">
            <v>15.3</v>
          </cell>
          <cell r="N28">
            <v>19.399999999999999</v>
          </cell>
          <cell r="O28">
            <v>152.4</v>
          </cell>
          <cell r="P28">
            <v>141.4</v>
          </cell>
          <cell r="Q28">
            <v>11</v>
          </cell>
        </row>
        <row r="29">
          <cell r="C29" t="str">
            <v>木材・木製品</v>
          </cell>
          <cell r="F29">
            <v>20.2</v>
          </cell>
          <cell r="G29">
            <v>163.6</v>
          </cell>
          <cell r="H29">
            <v>152.9</v>
          </cell>
          <cell r="I29">
            <v>10.7</v>
          </cell>
          <cell r="J29">
            <v>19.8</v>
          </cell>
          <cell r="K29">
            <v>167.7</v>
          </cell>
          <cell r="L29">
            <v>155.19999999999999</v>
          </cell>
          <cell r="M29">
            <v>12.5</v>
          </cell>
          <cell r="N29">
            <v>21.7</v>
          </cell>
          <cell r="O29">
            <v>146</v>
          </cell>
          <cell r="P29">
            <v>142.9</v>
          </cell>
          <cell r="Q29">
            <v>3.1</v>
          </cell>
        </row>
        <row r="30">
          <cell r="C30" t="str">
            <v>家具・装備品</v>
          </cell>
          <cell r="F30" t="str">
            <v>#20.7</v>
          </cell>
          <cell r="G30" t="str">
            <v>#155.1</v>
          </cell>
          <cell r="H30" t="str">
            <v>#155.1</v>
          </cell>
          <cell r="I30" t="str">
            <v>#0</v>
          </cell>
          <cell r="J30" t="str">
            <v>#21.1</v>
          </cell>
          <cell r="K30" t="str">
            <v>#163.4</v>
          </cell>
          <cell r="L30" t="str">
            <v>#163.4</v>
          </cell>
          <cell r="M30" t="str">
            <v>#0</v>
          </cell>
          <cell r="N30" t="str">
            <v>#19.7</v>
          </cell>
          <cell r="O30" t="str">
            <v>#136.1</v>
          </cell>
          <cell r="P30" t="str">
            <v>#136.1</v>
          </cell>
          <cell r="Q30" t="str">
            <v>#0</v>
          </cell>
        </row>
        <row r="31">
          <cell r="C31" t="str">
            <v>パルプ・紙</v>
          </cell>
          <cell r="F31" t="str">
            <v>#22.9</v>
          </cell>
          <cell r="G31" t="str">
            <v>#178.6</v>
          </cell>
          <cell r="H31" t="str">
            <v>#172.4</v>
          </cell>
          <cell r="I31" t="str">
            <v>#6.2</v>
          </cell>
          <cell r="J31" t="str">
            <v>#23.2</v>
          </cell>
          <cell r="K31" t="str">
            <v>#180.7</v>
          </cell>
          <cell r="L31" t="str">
            <v>#173.1</v>
          </cell>
          <cell r="M31" t="str">
            <v>#7.6</v>
          </cell>
          <cell r="N31" t="str">
            <v>#22</v>
          </cell>
          <cell r="O31" t="str">
            <v>#172.6</v>
          </cell>
          <cell r="P31" t="str">
            <v>#170.3</v>
          </cell>
          <cell r="Q31" t="str">
            <v>#2.3</v>
          </cell>
        </row>
        <row r="32">
          <cell r="C32" t="str">
            <v>印刷・同関連業</v>
          </cell>
          <cell r="F32">
            <v>19.399999999999999</v>
          </cell>
          <cell r="G32">
            <v>155</v>
          </cell>
          <cell r="H32">
            <v>141.9</v>
          </cell>
          <cell r="I32">
            <v>13.1</v>
          </cell>
          <cell r="J32">
            <v>19.600000000000001</v>
          </cell>
          <cell r="K32">
            <v>158</v>
          </cell>
          <cell r="L32">
            <v>142.4</v>
          </cell>
          <cell r="M32">
            <v>15.6</v>
          </cell>
          <cell r="N32">
            <v>19</v>
          </cell>
          <cell r="O32">
            <v>147.6</v>
          </cell>
          <cell r="P32">
            <v>140.6</v>
          </cell>
          <cell r="Q32">
            <v>7</v>
          </cell>
        </row>
        <row r="33">
          <cell r="C33" t="str">
            <v>化学、石油・石炭</v>
          </cell>
          <cell r="F33">
            <v>19.899999999999999</v>
          </cell>
          <cell r="G33">
            <v>163.1</v>
          </cell>
          <cell r="H33">
            <v>147.4</v>
          </cell>
          <cell r="I33">
            <v>15.7</v>
          </cell>
          <cell r="J33">
            <v>19.899999999999999</v>
          </cell>
          <cell r="K33">
            <v>164</v>
          </cell>
          <cell r="L33">
            <v>147.5</v>
          </cell>
          <cell r="M33">
            <v>16.5</v>
          </cell>
          <cell r="N33">
            <v>19.600000000000001</v>
          </cell>
          <cell r="O33">
            <v>151.30000000000001</v>
          </cell>
          <cell r="P33">
            <v>146.5</v>
          </cell>
          <cell r="Q33">
            <v>4.8</v>
          </cell>
        </row>
        <row r="34">
          <cell r="C34" t="str">
            <v>プラスチック製品</v>
          </cell>
          <cell r="F34">
            <v>20.100000000000001</v>
          </cell>
          <cell r="G34">
            <v>150</v>
          </cell>
          <cell r="H34">
            <v>143</v>
          </cell>
          <cell r="I34">
            <v>7</v>
          </cell>
          <cell r="J34">
            <v>20.399999999999999</v>
          </cell>
          <cell r="K34">
            <v>164.8</v>
          </cell>
          <cell r="L34">
            <v>154.80000000000001</v>
          </cell>
          <cell r="M34">
            <v>10</v>
          </cell>
          <cell r="N34">
            <v>19.5</v>
          </cell>
          <cell r="O34">
            <v>120.3</v>
          </cell>
          <cell r="P34">
            <v>119.4</v>
          </cell>
          <cell r="Q34">
            <v>0.9</v>
          </cell>
        </row>
        <row r="35">
          <cell r="C35" t="str">
            <v>ゴム製品</v>
          </cell>
          <cell r="F35">
            <v>20.5</v>
          </cell>
          <cell r="G35">
            <v>175.3</v>
          </cell>
          <cell r="H35">
            <v>150.9</v>
          </cell>
          <cell r="I35">
            <v>24.4</v>
          </cell>
          <cell r="J35">
            <v>20.6</v>
          </cell>
          <cell r="K35">
            <v>176.8</v>
          </cell>
          <cell r="L35">
            <v>150.30000000000001</v>
          </cell>
          <cell r="M35">
            <v>26.5</v>
          </cell>
          <cell r="N35">
            <v>20.2</v>
          </cell>
          <cell r="O35">
            <v>165.5</v>
          </cell>
          <cell r="P35">
            <v>155</v>
          </cell>
          <cell r="Q35">
            <v>10.5</v>
          </cell>
        </row>
        <row r="36">
          <cell r="C36" t="str">
            <v>窯業・土石製品</v>
          </cell>
          <cell r="F36">
            <v>20.3</v>
          </cell>
          <cell r="G36">
            <v>159.69999999999999</v>
          </cell>
          <cell r="H36">
            <v>152.30000000000001</v>
          </cell>
          <cell r="I36">
            <v>7.4</v>
          </cell>
          <cell r="J36">
            <v>20.7</v>
          </cell>
          <cell r="K36">
            <v>168</v>
          </cell>
          <cell r="L36">
            <v>158.6</v>
          </cell>
          <cell r="M36">
            <v>9.4</v>
          </cell>
          <cell r="N36">
            <v>19.2</v>
          </cell>
          <cell r="O36">
            <v>131.30000000000001</v>
          </cell>
          <cell r="P36">
            <v>130.6</v>
          </cell>
          <cell r="Q36">
            <v>0.7</v>
          </cell>
        </row>
        <row r="37">
          <cell r="C37" t="str">
            <v>鉄鋼業</v>
          </cell>
          <cell r="F37" t="str">
            <v>#19.8</v>
          </cell>
          <cell r="G37" t="str">
            <v>#183.6</v>
          </cell>
          <cell r="H37" t="str">
            <v>#157.8</v>
          </cell>
          <cell r="I37" t="str">
            <v>#25.8</v>
          </cell>
          <cell r="J37" t="str">
            <v>#19.8</v>
          </cell>
          <cell r="K37" t="str">
            <v>#184.4</v>
          </cell>
          <cell r="L37" t="str">
            <v>#158.1</v>
          </cell>
          <cell r="M37" t="str">
            <v>#26.3</v>
          </cell>
          <cell r="N37" t="str">
            <v>#19.3</v>
          </cell>
          <cell r="O37" t="str">
            <v>#172.2</v>
          </cell>
          <cell r="P37" t="str">
            <v>#152.9</v>
          </cell>
          <cell r="Q37" t="str">
            <v>#19.3</v>
          </cell>
        </row>
        <row r="38">
          <cell r="C38" t="str">
            <v>非鉄金属製造業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</row>
        <row r="39">
          <cell r="C39" t="str">
            <v>金属製品製造業</v>
          </cell>
          <cell r="F39">
            <v>19.8</v>
          </cell>
          <cell r="G39">
            <v>163.5</v>
          </cell>
          <cell r="H39">
            <v>156.19999999999999</v>
          </cell>
          <cell r="I39">
            <v>7.3</v>
          </cell>
          <cell r="J39">
            <v>19.899999999999999</v>
          </cell>
          <cell r="K39">
            <v>168.4</v>
          </cell>
          <cell r="L39">
            <v>159.19999999999999</v>
          </cell>
          <cell r="M39">
            <v>9.1999999999999993</v>
          </cell>
          <cell r="N39">
            <v>19.3</v>
          </cell>
          <cell r="O39">
            <v>149.69999999999999</v>
          </cell>
          <cell r="P39">
            <v>147.69999999999999</v>
          </cell>
          <cell r="Q39">
            <v>2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18.899999999999999</v>
          </cell>
          <cell r="G42">
            <v>158.5</v>
          </cell>
          <cell r="H42">
            <v>149</v>
          </cell>
          <cell r="I42">
            <v>9.5</v>
          </cell>
          <cell r="J42">
            <v>19</v>
          </cell>
          <cell r="K42">
            <v>159.4</v>
          </cell>
          <cell r="L42">
            <v>148.4</v>
          </cell>
          <cell r="M42">
            <v>11</v>
          </cell>
          <cell r="N42">
            <v>18.8</v>
          </cell>
          <cell r="O42">
            <v>157.80000000000001</v>
          </cell>
          <cell r="P42">
            <v>149.69999999999999</v>
          </cell>
          <cell r="Q42">
            <v>8.1</v>
          </cell>
        </row>
        <row r="43">
          <cell r="C43" t="str">
            <v>電子・デバイス</v>
          </cell>
          <cell r="F43">
            <v>17.899999999999999</v>
          </cell>
          <cell r="G43">
            <v>153.30000000000001</v>
          </cell>
          <cell r="H43">
            <v>139.9</v>
          </cell>
          <cell r="I43">
            <v>13.4</v>
          </cell>
          <cell r="J43">
            <v>18.100000000000001</v>
          </cell>
          <cell r="K43">
            <v>161.1</v>
          </cell>
          <cell r="L43">
            <v>144.30000000000001</v>
          </cell>
          <cell r="M43">
            <v>16.8</v>
          </cell>
          <cell r="N43">
            <v>17.5</v>
          </cell>
          <cell r="O43">
            <v>138.5</v>
          </cell>
          <cell r="P43">
            <v>131.6</v>
          </cell>
          <cell r="Q43">
            <v>6.9</v>
          </cell>
        </row>
        <row r="44">
          <cell r="C44" t="str">
            <v>電気機械器具</v>
          </cell>
          <cell r="F44">
            <v>20.3</v>
          </cell>
          <cell r="G44">
            <v>164.7</v>
          </cell>
          <cell r="H44">
            <v>157.1</v>
          </cell>
          <cell r="I44">
            <v>7.6</v>
          </cell>
          <cell r="J44">
            <v>20.3</v>
          </cell>
          <cell r="K44">
            <v>167.3</v>
          </cell>
          <cell r="L44">
            <v>158.1</v>
          </cell>
          <cell r="M44">
            <v>9.1999999999999993</v>
          </cell>
          <cell r="N44">
            <v>20.5</v>
          </cell>
          <cell r="O44">
            <v>159.30000000000001</v>
          </cell>
          <cell r="P44">
            <v>155</v>
          </cell>
          <cell r="Q44">
            <v>4.3</v>
          </cell>
        </row>
        <row r="45">
          <cell r="C45" t="str">
            <v>情報通信機械器具</v>
          </cell>
          <cell r="F45" t="str">
            <v>#19.1</v>
          </cell>
          <cell r="G45" t="str">
            <v>#157.9</v>
          </cell>
          <cell r="H45" t="str">
            <v>#149.5</v>
          </cell>
          <cell r="I45" t="str">
            <v>#8.4</v>
          </cell>
          <cell r="J45" t="str">
            <v>#18.9</v>
          </cell>
          <cell r="K45" t="str">
            <v>#156.7</v>
          </cell>
          <cell r="L45" t="str">
            <v>#148.9</v>
          </cell>
          <cell r="M45" t="str">
            <v>#7.8</v>
          </cell>
          <cell r="N45" t="str">
            <v>#19.3</v>
          </cell>
          <cell r="O45" t="str">
            <v>#159.3</v>
          </cell>
          <cell r="P45" t="str">
            <v>#150.2</v>
          </cell>
          <cell r="Q45" t="str">
            <v>#9.1</v>
          </cell>
        </row>
        <row r="46">
          <cell r="C46" t="str">
            <v>輸送用機械器具</v>
          </cell>
          <cell r="F46">
            <v>19.2</v>
          </cell>
          <cell r="G46">
            <v>183</v>
          </cell>
          <cell r="H46">
            <v>154.69999999999999</v>
          </cell>
          <cell r="I46">
            <v>28.3</v>
          </cell>
          <cell r="J46">
            <v>19.2</v>
          </cell>
          <cell r="K46">
            <v>186.2</v>
          </cell>
          <cell r="L46">
            <v>156</v>
          </cell>
          <cell r="M46">
            <v>30.2</v>
          </cell>
          <cell r="N46">
            <v>19.3</v>
          </cell>
          <cell r="O46">
            <v>169.2</v>
          </cell>
          <cell r="P46">
            <v>148.80000000000001</v>
          </cell>
          <cell r="Q46">
            <v>20.399999999999999</v>
          </cell>
        </row>
        <row r="47">
          <cell r="C47" t="str">
            <v>その他の製造業</v>
          </cell>
          <cell r="F47">
            <v>20.3</v>
          </cell>
          <cell r="G47">
            <v>176.2</v>
          </cell>
          <cell r="H47">
            <v>150.9</v>
          </cell>
          <cell r="I47">
            <v>25.3</v>
          </cell>
          <cell r="J47">
            <v>20.8</v>
          </cell>
          <cell r="K47">
            <v>187.9</v>
          </cell>
          <cell r="L47">
            <v>156</v>
          </cell>
          <cell r="M47">
            <v>31.9</v>
          </cell>
          <cell r="N47">
            <v>18.399999999999999</v>
          </cell>
          <cell r="O47">
            <v>134.1</v>
          </cell>
          <cell r="P47">
            <v>132.5</v>
          </cell>
          <cell r="Q47">
            <v>1.6</v>
          </cell>
        </row>
        <row r="48">
          <cell r="C48" t="str">
            <v>Ｅ一括分１</v>
          </cell>
          <cell r="F48">
            <v>19.8</v>
          </cell>
          <cell r="G48">
            <v>170.8</v>
          </cell>
          <cell r="H48">
            <v>157</v>
          </cell>
          <cell r="I48">
            <v>13.8</v>
          </cell>
          <cell r="J48">
            <v>20</v>
          </cell>
          <cell r="K48">
            <v>174.5</v>
          </cell>
          <cell r="L48">
            <v>158.9</v>
          </cell>
          <cell r="M48">
            <v>15.6</v>
          </cell>
          <cell r="N48">
            <v>19.100000000000001</v>
          </cell>
          <cell r="O48">
            <v>159</v>
          </cell>
          <cell r="P48">
            <v>151</v>
          </cell>
          <cell r="Q48">
            <v>8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19.7</v>
          </cell>
          <cell r="G51">
            <v>157.9</v>
          </cell>
          <cell r="H51">
            <v>150</v>
          </cell>
          <cell r="I51">
            <v>7.9</v>
          </cell>
          <cell r="J51">
            <v>19.5</v>
          </cell>
          <cell r="K51">
            <v>160.6</v>
          </cell>
          <cell r="L51">
            <v>150.5</v>
          </cell>
          <cell r="M51">
            <v>10.1</v>
          </cell>
          <cell r="N51">
            <v>20</v>
          </cell>
          <cell r="O51">
            <v>151.80000000000001</v>
          </cell>
          <cell r="P51">
            <v>148.80000000000001</v>
          </cell>
          <cell r="Q51">
            <v>3</v>
          </cell>
        </row>
        <row r="52">
          <cell r="C52" t="str">
            <v>小売業</v>
          </cell>
          <cell r="F52">
            <v>17.399999999999999</v>
          </cell>
          <cell r="G52">
            <v>115.2</v>
          </cell>
          <cell r="H52">
            <v>108.6</v>
          </cell>
          <cell r="I52">
            <v>6.6</v>
          </cell>
          <cell r="J52">
            <v>18.3</v>
          </cell>
          <cell r="K52">
            <v>137.80000000000001</v>
          </cell>
          <cell r="L52">
            <v>126.1</v>
          </cell>
          <cell r="M52">
            <v>11.7</v>
          </cell>
          <cell r="N52">
            <v>17</v>
          </cell>
          <cell r="O52">
            <v>103.4</v>
          </cell>
          <cell r="P52">
            <v>99.5</v>
          </cell>
          <cell r="Q52">
            <v>3.9</v>
          </cell>
        </row>
        <row r="53">
          <cell r="C53" t="str">
            <v>宿泊業</v>
          </cell>
          <cell r="F53">
            <v>19.7</v>
          </cell>
          <cell r="G53">
            <v>139.30000000000001</v>
          </cell>
          <cell r="H53">
            <v>131.19999999999999</v>
          </cell>
          <cell r="I53">
            <v>8.1</v>
          </cell>
          <cell r="J53">
            <v>20.2</v>
          </cell>
          <cell r="K53">
            <v>156.19999999999999</v>
          </cell>
          <cell r="L53">
            <v>143.6</v>
          </cell>
          <cell r="M53">
            <v>12.6</v>
          </cell>
          <cell r="N53">
            <v>19.3</v>
          </cell>
          <cell r="O53">
            <v>126.1</v>
          </cell>
          <cell r="P53">
            <v>121.5</v>
          </cell>
          <cell r="Q53">
            <v>4.5999999999999996</v>
          </cell>
        </row>
        <row r="54">
          <cell r="C54" t="str">
            <v>Ｍ一括分</v>
          </cell>
          <cell r="F54">
            <v>12.8</v>
          </cell>
          <cell r="G54">
            <v>72.400000000000006</v>
          </cell>
          <cell r="H54">
            <v>70.2</v>
          </cell>
          <cell r="I54">
            <v>2.2000000000000002</v>
          </cell>
          <cell r="J54">
            <v>13.4</v>
          </cell>
          <cell r="K54">
            <v>76.5</v>
          </cell>
          <cell r="L54">
            <v>73.8</v>
          </cell>
          <cell r="M54">
            <v>2.7</v>
          </cell>
          <cell r="N54">
            <v>12.5</v>
          </cell>
          <cell r="O54">
            <v>70.2</v>
          </cell>
          <cell r="P54">
            <v>68.2</v>
          </cell>
          <cell r="Q54">
            <v>2</v>
          </cell>
        </row>
        <row r="55">
          <cell r="C55" t="str">
            <v>医療業</v>
          </cell>
          <cell r="F55">
            <v>19.100000000000001</v>
          </cell>
          <cell r="G55">
            <v>142.5</v>
          </cell>
          <cell r="H55">
            <v>137.80000000000001</v>
          </cell>
          <cell r="I55">
            <v>4.7</v>
          </cell>
          <cell r="J55">
            <v>19.5</v>
          </cell>
          <cell r="K55">
            <v>150</v>
          </cell>
          <cell r="L55">
            <v>144</v>
          </cell>
          <cell r="M55">
            <v>6</v>
          </cell>
          <cell r="N55">
            <v>19</v>
          </cell>
          <cell r="O55">
            <v>140.1</v>
          </cell>
          <cell r="P55">
            <v>135.80000000000001</v>
          </cell>
          <cell r="Q55">
            <v>4.3</v>
          </cell>
        </row>
        <row r="56">
          <cell r="C56" t="str">
            <v>Ｐ一括分</v>
          </cell>
          <cell r="F56">
            <v>18.399999999999999</v>
          </cell>
          <cell r="G56">
            <v>131.19999999999999</v>
          </cell>
          <cell r="H56">
            <v>127.3</v>
          </cell>
          <cell r="I56">
            <v>3.9</v>
          </cell>
          <cell r="J56">
            <v>19</v>
          </cell>
          <cell r="K56">
            <v>145.6</v>
          </cell>
          <cell r="L56">
            <v>139.69999999999999</v>
          </cell>
          <cell r="M56">
            <v>5.9</v>
          </cell>
          <cell r="N56">
            <v>18.2</v>
          </cell>
          <cell r="O56">
            <v>126.1</v>
          </cell>
          <cell r="P56">
            <v>122.9</v>
          </cell>
          <cell r="Q56">
            <v>3.2</v>
          </cell>
        </row>
        <row r="57">
          <cell r="C57" t="str">
            <v>職業紹介・派遣業</v>
          </cell>
          <cell r="F57">
            <v>18.899999999999999</v>
          </cell>
          <cell r="G57">
            <v>153.9</v>
          </cell>
          <cell r="H57">
            <v>145.1</v>
          </cell>
          <cell r="I57">
            <v>8.8000000000000007</v>
          </cell>
          <cell r="J57">
            <v>18.899999999999999</v>
          </cell>
          <cell r="K57">
            <v>165.3</v>
          </cell>
          <cell r="L57">
            <v>151.6</v>
          </cell>
          <cell r="M57">
            <v>13.7</v>
          </cell>
          <cell r="N57">
            <v>18.899999999999999</v>
          </cell>
          <cell r="O57">
            <v>145.1</v>
          </cell>
          <cell r="P57">
            <v>140.1</v>
          </cell>
          <cell r="Q57">
            <v>5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18.2</v>
          </cell>
          <cell r="G59">
            <v>137.4</v>
          </cell>
          <cell r="H59">
            <v>128.6</v>
          </cell>
          <cell r="I59">
            <v>8.8000000000000007</v>
          </cell>
          <cell r="J59">
            <v>18.600000000000001</v>
          </cell>
          <cell r="K59">
            <v>152</v>
          </cell>
          <cell r="L59">
            <v>140</v>
          </cell>
          <cell r="M59">
            <v>12</v>
          </cell>
          <cell r="N59">
            <v>17.600000000000001</v>
          </cell>
          <cell r="O59">
            <v>119</v>
          </cell>
          <cell r="P59">
            <v>114.3</v>
          </cell>
          <cell r="Q59">
            <v>4.7</v>
          </cell>
        </row>
        <row r="60">
          <cell r="C60" t="str">
            <v>特掲産業１</v>
          </cell>
          <cell r="F60" t="str">
            <v>#14.1</v>
          </cell>
          <cell r="G60" t="str">
            <v>#111.2</v>
          </cell>
          <cell r="H60" t="str">
            <v>#107.4</v>
          </cell>
          <cell r="I60" t="str">
            <v>#3.8</v>
          </cell>
          <cell r="J60" t="str">
            <v>#14.2</v>
          </cell>
          <cell r="K60" t="str">
            <v>#114.2</v>
          </cell>
          <cell r="L60" t="str">
            <v>#110</v>
          </cell>
          <cell r="M60" t="str">
            <v>#4.2</v>
          </cell>
          <cell r="N60" t="str">
            <v>#14</v>
          </cell>
          <cell r="O60" t="str">
            <v>#104.4</v>
          </cell>
          <cell r="P60" t="str">
            <v>#101.6</v>
          </cell>
          <cell r="Q60" t="str">
            <v>#2.8</v>
          </cell>
        </row>
        <row r="61">
          <cell r="C61" t="str">
            <v>特掲産業２</v>
          </cell>
          <cell r="F61" t="str">
            <v>#18</v>
          </cell>
          <cell r="G61" t="str">
            <v>#143.4</v>
          </cell>
          <cell r="H61" t="str">
            <v>#132.2</v>
          </cell>
          <cell r="I61" t="str">
            <v>#11.2</v>
          </cell>
          <cell r="J61" t="str">
            <v>#19.6</v>
          </cell>
          <cell r="K61" t="str">
            <v>#168.2</v>
          </cell>
          <cell r="L61" t="str">
            <v>#150.3</v>
          </cell>
          <cell r="M61" t="str">
            <v>#17.9</v>
          </cell>
          <cell r="N61" t="str">
            <v>#15.8</v>
          </cell>
          <cell r="O61" t="str">
            <v>#110.3</v>
          </cell>
          <cell r="P61" t="str">
            <v>#108</v>
          </cell>
          <cell r="Q61" t="str">
            <v>#2.3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18.3</v>
          </cell>
          <cell r="G80">
            <v>140.69999999999999</v>
          </cell>
          <cell r="H80">
            <v>131.30000000000001</v>
          </cell>
          <cell r="I80">
            <v>9.4</v>
          </cell>
          <cell r="J80">
            <v>19.100000000000001</v>
          </cell>
          <cell r="K80">
            <v>156.30000000000001</v>
          </cell>
          <cell r="L80">
            <v>142.69999999999999</v>
          </cell>
          <cell r="M80">
            <v>13.6</v>
          </cell>
          <cell r="N80">
            <v>17.600000000000001</v>
          </cell>
          <cell r="O80">
            <v>125.6</v>
          </cell>
          <cell r="P80">
            <v>120.3</v>
          </cell>
          <cell r="Q80">
            <v>5.3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21.8</v>
          </cell>
          <cell r="G82">
            <v>169.1</v>
          </cell>
          <cell r="H82">
            <v>162.5</v>
          </cell>
          <cell r="I82">
            <v>6.6</v>
          </cell>
          <cell r="J82">
            <v>22.2</v>
          </cell>
          <cell r="K82">
            <v>173.4</v>
          </cell>
          <cell r="L82">
            <v>166.3</v>
          </cell>
          <cell r="M82">
            <v>7.1</v>
          </cell>
          <cell r="N82">
            <v>20.100000000000001</v>
          </cell>
          <cell r="O82">
            <v>145.19999999999999</v>
          </cell>
          <cell r="P82">
            <v>141.6</v>
          </cell>
          <cell r="Q82">
            <v>3.6</v>
          </cell>
        </row>
        <row r="83">
          <cell r="C83" t="str">
            <v>製造業</v>
          </cell>
          <cell r="F83">
            <v>19.5</v>
          </cell>
          <cell r="G83">
            <v>159.1</v>
          </cell>
          <cell r="H83">
            <v>147</v>
          </cell>
          <cell r="I83">
            <v>12.1</v>
          </cell>
          <cell r="J83">
            <v>20</v>
          </cell>
          <cell r="K83">
            <v>169.9</v>
          </cell>
          <cell r="L83">
            <v>153.69999999999999</v>
          </cell>
          <cell r="M83">
            <v>16.2</v>
          </cell>
          <cell r="N83">
            <v>18.899999999999999</v>
          </cell>
          <cell r="O83">
            <v>143.69999999999999</v>
          </cell>
          <cell r="P83">
            <v>137.4</v>
          </cell>
          <cell r="Q83">
            <v>6.3</v>
          </cell>
        </row>
        <row r="84">
          <cell r="C84" t="str">
            <v>電気・ガス・熱供給・水道業</v>
          </cell>
          <cell r="F84">
            <v>18.3</v>
          </cell>
          <cell r="G84">
            <v>151.4</v>
          </cell>
          <cell r="H84">
            <v>134.19999999999999</v>
          </cell>
          <cell r="I84">
            <v>17.2</v>
          </cell>
          <cell r="J84">
            <v>18.3</v>
          </cell>
          <cell r="K84">
            <v>155.30000000000001</v>
          </cell>
          <cell r="L84">
            <v>136</v>
          </cell>
          <cell r="M84">
            <v>19.3</v>
          </cell>
          <cell r="N84">
            <v>18</v>
          </cell>
          <cell r="O84">
            <v>127.7</v>
          </cell>
          <cell r="P84">
            <v>123.1</v>
          </cell>
          <cell r="Q84">
            <v>4.5999999999999996</v>
          </cell>
        </row>
        <row r="85">
          <cell r="C85" t="str">
            <v>情報通信業</v>
          </cell>
          <cell r="F85">
            <v>19.100000000000001</v>
          </cell>
          <cell r="G85">
            <v>153.9</v>
          </cell>
          <cell r="H85">
            <v>142.19999999999999</v>
          </cell>
          <cell r="I85">
            <v>11.7</v>
          </cell>
          <cell r="J85">
            <v>19.399999999999999</v>
          </cell>
          <cell r="K85">
            <v>156.30000000000001</v>
          </cell>
          <cell r="L85">
            <v>144.5</v>
          </cell>
          <cell r="M85">
            <v>11.8</v>
          </cell>
          <cell r="N85">
            <v>18.7</v>
          </cell>
          <cell r="O85">
            <v>148.69999999999999</v>
          </cell>
          <cell r="P85">
            <v>137.30000000000001</v>
          </cell>
          <cell r="Q85">
            <v>11.4</v>
          </cell>
        </row>
        <row r="86">
          <cell r="C86" t="str">
            <v>運輸業，郵便業</v>
          </cell>
          <cell r="F86">
            <v>20.399999999999999</v>
          </cell>
          <cell r="G86">
            <v>185.2</v>
          </cell>
          <cell r="H86">
            <v>155</v>
          </cell>
          <cell r="I86">
            <v>30.2</v>
          </cell>
          <cell r="J86">
            <v>20.6</v>
          </cell>
          <cell r="K86">
            <v>190.4</v>
          </cell>
          <cell r="L86">
            <v>157.1</v>
          </cell>
          <cell r="M86">
            <v>33.299999999999997</v>
          </cell>
          <cell r="N86">
            <v>19.100000000000001</v>
          </cell>
          <cell r="O86">
            <v>145.80000000000001</v>
          </cell>
          <cell r="P86">
            <v>138.9</v>
          </cell>
          <cell r="Q86">
            <v>6.9</v>
          </cell>
        </row>
        <row r="87">
          <cell r="C87" t="str">
            <v>卸売業，小売業</v>
          </cell>
          <cell r="F87">
            <v>17.399999999999999</v>
          </cell>
          <cell r="G87">
            <v>128.5</v>
          </cell>
          <cell r="H87">
            <v>121.3</v>
          </cell>
          <cell r="I87">
            <v>7.2</v>
          </cell>
          <cell r="J87">
            <v>18.100000000000001</v>
          </cell>
          <cell r="K87">
            <v>146.1</v>
          </cell>
          <cell r="L87">
            <v>135.1</v>
          </cell>
          <cell r="M87">
            <v>11</v>
          </cell>
          <cell r="N87">
            <v>16.7</v>
          </cell>
          <cell r="O87">
            <v>109.6</v>
          </cell>
          <cell r="P87">
            <v>106.5</v>
          </cell>
          <cell r="Q87">
            <v>3.1</v>
          </cell>
        </row>
        <row r="88">
          <cell r="C88" t="str">
            <v>金融業，保険業</v>
          </cell>
          <cell r="F88">
            <v>18.399999999999999</v>
          </cell>
          <cell r="G88">
            <v>141.6</v>
          </cell>
          <cell r="H88">
            <v>134.69999999999999</v>
          </cell>
          <cell r="I88">
            <v>6.9</v>
          </cell>
          <cell r="J88">
            <v>19.100000000000001</v>
          </cell>
          <cell r="K88">
            <v>155.19999999999999</v>
          </cell>
          <cell r="L88">
            <v>145.1</v>
          </cell>
          <cell r="M88">
            <v>10.1</v>
          </cell>
          <cell r="N88">
            <v>17.7</v>
          </cell>
          <cell r="O88">
            <v>129.4</v>
          </cell>
          <cell r="P88">
            <v>125.3</v>
          </cell>
          <cell r="Q88">
            <v>4.0999999999999996</v>
          </cell>
        </row>
        <row r="89">
          <cell r="C89" t="str">
            <v>不動産業，物品賃貸業</v>
          </cell>
          <cell r="F89">
            <v>16.2</v>
          </cell>
          <cell r="G89">
            <v>116.1</v>
          </cell>
          <cell r="H89">
            <v>113.8</v>
          </cell>
          <cell r="I89">
            <v>2.2999999999999998</v>
          </cell>
          <cell r="J89">
            <v>17.100000000000001</v>
          </cell>
          <cell r="K89">
            <v>128.9</v>
          </cell>
          <cell r="L89">
            <v>125.7</v>
          </cell>
          <cell r="M89">
            <v>3.2</v>
          </cell>
          <cell r="N89">
            <v>14.7</v>
          </cell>
          <cell r="O89">
            <v>95.9</v>
          </cell>
          <cell r="P89">
            <v>95</v>
          </cell>
          <cell r="Q89">
            <v>0.9</v>
          </cell>
        </row>
        <row r="90">
          <cell r="C90" t="str">
            <v>学術研究，専門・技術サービス業</v>
          </cell>
          <cell r="F90">
            <v>18.5</v>
          </cell>
          <cell r="G90">
            <v>141.9</v>
          </cell>
          <cell r="H90">
            <v>135.80000000000001</v>
          </cell>
          <cell r="I90">
            <v>6.1</v>
          </cell>
          <cell r="J90">
            <v>18.399999999999999</v>
          </cell>
          <cell r="K90">
            <v>149.19999999999999</v>
          </cell>
          <cell r="L90">
            <v>142.19999999999999</v>
          </cell>
          <cell r="M90">
            <v>7</v>
          </cell>
          <cell r="N90">
            <v>18.8</v>
          </cell>
          <cell r="O90">
            <v>128.69999999999999</v>
          </cell>
          <cell r="P90">
            <v>124.4</v>
          </cell>
          <cell r="Q90">
            <v>4.3</v>
          </cell>
        </row>
        <row r="91">
          <cell r="C91" t="str">
            <v>宿泊業，飲食サービス業</v>
          </cell>
          <cell r="F91">
            <v>13.5</v>
          </cell>
          <cell r="G91">
            <v>75.7</v>
          </cell>
          <cell r="H91">
            <v>72.599999999999994</v>
          </cell>
          <cell r="I91">
            <v>3.1</v>
          </cell>
          <cell r="J91">
            <v>15</v>
          </cell>
          <cell r="K91">
            <v>89.7</v>
          </cell>
          <cell r="L91">
            <v>83.1</v>
          </cell>
          <cell r="M91">
            <v>6.6</v>
          </cell>
          <cell r="N91">
            <v>12.5</v>
          </cell>
          <cell r="O91">
            <v>67.099999999999994</v>
          </cell>
          <cell r="P91">
            <v>66.099999999999994</v>
          </cell>
          <cell r="Q91">
            <v>1</v>
          </cell>
        </row>
        <row r="92">
          <cell r="C92" t="str">
            <v>生活関連サービス業，娯楽業</v>
          </cell>
          <cell r="F92">
            <v>17.399999999999999</v>
          </cell>
          <cell r="G92">
            <v>138</v>
          </cell>
          <cell r="H92">
            <v>128</v>
          </cell>
          <cell r="I92">
            <v>10</v>
          </cell>
          <cell r="J92">
            <v>18</v>
          </cell>
          <cell r="K92">
            <v>148.30000000000001</v>
          </cell>
          <cell r="L92">
            <v>137.9</v>
          </cell>
          <cell r="M92">
            <v>10.4</v>
          </cell>
          <cell r="N92">
            <v>16.600000000000001</v>
          </cell>
          <cell r="O92">
            <v>125.6</v>
          </cell>
          <cell r="P92">
            <v>116.1</v>
          </cell>
          <cell r="Q92">
            <v>9.5</v>
          </cell>
        </row>
        <row r="93">
          <cell r="C93" t="str">
            <v>教育，学習支援業</v>
          </cell>
          <cell r="F93">
            <v>18.2</v>
          </cell>
          <cell r="G93">
            <v>158.5</v>
          </cell>
          <cell r="H93">
            <v>135.6</v>
          </cell>
          <cell r="I93">
            <v>22.9</v>
          </cell>
          <cell r="J93">
            <v>18.7</v>
          </cell>
          <cell r="K93">
            <v>172.1</v>
          </cell>
          <cell r="L93">
            <v>140.9</v>
          </cell>
          <cell r="M93">
            <v>31.2</v>
          </cell>
          <cell r="N93">
            <v>17.8</v>
          </cell>
          <cell r="O93">
            <v>147.6</v>
          </cell>
          <cell r="P93">
            <v>131.4</v>
          </cell>
          <cell r="Q93">
            <v>16.2</v>
          </cell>
        </row>
        <row r="94">
          <cell r="C94" t="str">
            <v>医療，福祉</v>
          </cell>
          <cell r="F94">
            <v>18.7</v>
          </cell>
          <cell r="G94">
            <v>138</v>
          </cell>
          <cell r="H94">
            <v>133.4</v>
          </cell>
          <cell r="I94">
            <v>4.5999999999999996</v>
          </cell>
          <cell r="J94">
            <v>19.100000000000001</v>
          </cell>
          <cell r="K94">
            <v>145.69999999999999</v>
          </cell>
          <cell r="L94">
            <v>141.30000000000001</v>
          </cell>
          <cell r="M94">
            <v>4.4000000000000004</v>
          </cell>
          <cell r="N94">
            <v>18.600000000000001</v>
          </cell>
          <cell r="O94">
            <v>135.69999999999999</v>
          </cell>
          <cell r="P94">
            <v>131</v>
          </cell>
          <cell r="Q94">
            <v>4.7</v>
          </cell>
        </row>
        <row r="95">
          <cell r="C95" t="str">
            <v>複合サービス事業</v>
          </cell>
          <cell r="F95">
            <v>19.3</v>
          </cell>
          <cell r="G95">
            <v>152</v>
          </cell>
          <cell r="H95">
            <v>148.1</v>
          </cell>
          <cell r="I95">
            <v>3.9</v>
          </cell>
          <cell r="J95">
            <v>19.3</v>
          </cell>
          <cell r="K95">
            <v>156</v>
          </cell>
          <cell r="L95">
            <v>151.1</v>
          </cell>
          <cell r="M95">
            <v>4.9000000000000004</v>
          </cell>
          <cell r="N95">
            <v>19.100000000000001</v>
          </cell>
          <cell r="O95">
            <v>144.80000000000001</v>
          </cell>
          <cell r="P95">
            <v>142.80000000000001</v>
          </cell>
          <cell r="Q95">
            <v>2</v>
          </cell>
        </row>
        <row r="96">
          <cell r="C96" t="str">
            <v>サービス業（他に分類されないもの）</v>
          </cell>
          <cell r="F96">
            <v>18.8</v>
          </cell>
          <cell r="G96">
            <v>144</v>
          </cell>
          <cell r="H96">
            <v>135.5</v>
          </cell>
          <cell r="I96">
            <v>8.5</v>
          </cell>
          <cell r="J96">
            <v>19.2</v>
          </cell>
          <cell r="K96">
            <v>156.9</v>
          </cell>
          <cell r="L96">
            <v>145</v>
          </cell>
          <cell r="M96">
            <v>11.9</v>
          </cell>
          <cell r="N96">
            <v>18.3</v>
          </cell>
          <cell r="O96">
            <v>128.1</v>
          </cell>
          <cell r="P96">
            <v>123.8</v>
          </cell>
          <cell r="Q96">
            <v>4.3</v>
          </cell>
        </row>
        <row r="97">
          <cell r="C97" t="str">
            <v>食料品・たばこ</v>
          </cell>
          <cell r="F97">
            <v>19.2</v>
          </cell>
          <cell r="G97">
            <v>150.4</v>
          </cell>
          <cell r="H97">
            <v>141.69999999999999</v>
          </cell>
          <cell r="I97">
            <v>8.6999999999999993</v>
          </cell>
          <cell r="J97">
            <v>20.100000000000001</v>
          </cell>
          <cell r="K97">
            <v>167.4</v>
          </cell>
          <cell r="L97">
            <v>154.4</v>
          </cell>
          <cell r="M97">
            <v>13</v>
          </cell>
          <cell r="N97">
            <v>18.5</v>
          </cell>
          <cell r="O97">
            <v>138.9</v>
          </cell>
          <cell r="P97">
            <v>133.1</v>
          </cell>
          <cell r="Q97">
            <v>5.8</v>
          </cell>
        </row>
        <row r="98">
          <cell r="C98" t="str">
            <v>繊維工業</v>
          </cell>
          <cell r="F98">
            <v>19.399999999999999</v>
          </cell>
          <cell r="G98">
            <v>153.5</v>
          </cell>
          <cell r="H98">
            <v>141.9</v>
          </cell>
          <cell r="I98">
            <v>11.6</v>
          </cell>
          <cell r="J98">
            <v>19.5</v>
          </cell>
          <cell r="K98">
            <v>159.5</v>
          </cell>
          <cell r="L98">
            <v>144.4</v>
          </cell>
          <cell r="M98">
            <v>15.1</v>
          </cell>
          <cell r="N98">
            <v>19.3</v>
          </cell>
          <cell r="O98">
            <v>150.1</v>
          </cell>
          <cell r="P98">
            <v>140.4</v>
          </cell>
          <cell r="Q98">
            <v>9.6999999999999993</v>
          </cell>
        </row>
        <row r="99">
          <cell r="C99" t="str">
            <v>木材・木製品</v>
          </cell>
          <cell r="F99">
            <v>19.2</v>
          </cell>
          <cell r="G99">
            <v>153.6</v>
          </cell>
          <cell r="H99">
            <v>144.69999999999999</v>
          </cell>
          <cell r="I99">
            <v>8.9</v>
          </cell>
          <cell r="J99">
            <v>19.100000000000001</v>
          </cell>
          <cell r="K99">
            <v>158.6</v>
          </cell>
          <cell r="L99">
            <v>147.80000000000001</v>
          </cell>
          <cell r="M99">
            <v>10.8</v>
          </cell>
          <cell r="N99">
            <v>19.399999999999999</v>
          </cell>
          <cell r="O99">
            <v>139.1</v>
          </cell>
          <cell r="P99">
            <v>135.69999999999999</v>
          </cell>
          <cell r="Q99">
            <v>3.4</v>
          </cell>
        </row>
        <row r="100">
          <cell r="C100" t="str">
            <v>家具・装備品</v>
          </cell>
          <cell r="F100" t="str">
            <v>#20.7</v>
          </cell>
          <cell r="G100" t="str">
            <v>#155.1</v>
          </cell>
          <cell r="H100" t="str">
            <v>#155.1</v>
          </cell>
          <cell r="I100" t="str">
            <v>#0</v>
          </cell>
          <cell r="J100" t="str">
            <v>#21.1</v>
          </cell>
          <cell r="K100" t="str">
            <v>#163.4</v>
          </cell>
          <cell r="L100" t="str">
            <v>#163.4</v>
          </cell>
          <cell r="M100" t="str">
            <v>#0</v>
          </cell>
          <cell r="N100" t="str">
            <v>#19.7</v>
          </cell>
          <cell r="O100" t="str">
            <v>#136.1</v>
          </cell>
          <cell r="P100" t="str">
            <v>#136.1</v>
          </cell>
          <cell r="Q100" t="str">
            <v>#0</v>
          </cell>
        </row>
        <row r="101">
          <cell r="C101" t="str">
            <v>パルプ・紙</v>
          </cell>
          <cell r="F101">
            <v>22.8</v>
          </cell>
          <cell r="G101">
            <v>175</v>
          </cell>
          <cell r="H101">
            <v>169.2</v>
          </cell>
          <cell r="I101">
            <v>5.8</v>
          </cell>
          <cell r="J101">
            <v>23.1</v>
          </cell>
          <cell r="K101">
            <v>177.6</v>
          </cell>
          <cell r="L101">
            <v>170.7</v>
          </cell>
          <cell r="M101">
            <v>6.9</v>
          </cell>
          <cell r="N101">
            <v>21.8</v>
          </cell>
          <cell r="O101">
            <v>166.4</v>
          </cell>
          <cell r="P101">
            <v>164.4</v>
          </cell>
          <cell r="Q101">
            <v>2</v>
          </cell>
        </row>
        <row r="102">
          <cell r="C102" t="str">
            <v>印刷・同関連業</v>
          </cell>
          <cell r="F102">
            <v>20.2</v>
          </cell>
          <cell r="G102">
            <v>163.19999999999999</v>
          </cell>
          <cell r="H102">
            <v>154.9</v>
          </cell>
          <cell r="I102">
            <v>8.3000000000000007</v>
          </cell>
          <cell r="J102">
            <v>20.3</v>
          </cell>
          <cell r="K102">
            <v>164.5</v>
          </cell>
          <cell r="L102">
            <v>154.69999999999999</v>
          </cell>
          <cell r="M102">
            <v>9.8000000000000007</v>
          </cell>
          <cell r="N102">
            <v>20.100000000000001</v>
          </cell>
          <cell r="O102">
            <v>160.5</v>
          </cell>
          <cell r="P102">
            <v>155.4</v>
          </cell>
          <cell r="Q102">
            <v>5.0999999999999996</v>
          </cell>
        </row>
        <row r="103">
          <cell r="C103" t="str">
            <v>化学、石油・石炭</v>
          </cell>
          <cell r="F103">
            <v>20</v>
          </cell>
          <cell r="G103">
            <v>164.6</v>
          </cell>
          <cell r="H103">
            <v>147.5</v>
          </cell>
          <cell r="I103">
            <v>17.100000000000001</v>
          </cell>
          <cell r="J103">
            <v>20.100000000000001</v>
          </cell>
          <cell r="K103">
            <v>166.1</v>
          </cell>
          <cell r="L103">
            <v>148</v>
          </cell>
          <cell r="M103">
            <v>18.100000000000001</v>
          </cell>
          <cell r="N103">
            <v>19.100000000000001</v>
          </cell>
          <cell r="O103">
            <v>149.4</v>
          </cell>
          <cell r="P103">
            <v>142</v>
          </cell>
          <cell r="Q103">
            <v>7.4</v>
          </cell>
        </row>
        <row r="104">
          <cell r="C104" t="str">
            <v>プラスチック製品</v>
          </cell>
          <cell r="F104">
            <v>20.100000000000001</v>
          </cell>
          <cell r="G104">
            <v>150</v>
          </cell>
          <cell r="H104">
            <v>143</v>
          </cell>
          <cell r="I104">
            <v>7</v>
          </cell>
          <cell r="J104">
            <v>20.399999999999999</v>
          </cell>
          <cell r="K104">
            <v>164.8</v>
          </cell>
          <cell r="L104">
            <v>154.80000000000001</v>
          </cell>
          <cell r="M104">
            <v>10</v>
          </cell>
          <cell r="N104">
            <v>19.5</v>
          </cell>
          <cell r="O104">
            <v>120.3</v>
          </cell>
          <cell r="P104">
            <v>119.4</v>
          </cell>
          <cell r="Q104">
            <v>0.9</v>
          </cell>
        </row>
        <row r="105">
          <cell r="C105" t="str">
            <v>ゴム製品</v>
          </cell>
          <cell r="F105">
            <v>20.5</v>
          </cell>
          <cell r="G105">
            <v>175.3</v>
          </cell>
          <cell r="H105">
            <v>150.9</v>
          </cell>
          <cell r="I105">
            <v>24.4</v>
          </cell>
          <cell r="J105">
            <v>20.6</v>
          </cell>
          <cell r="K105">
            <v>176.8</v>
          </cell>
          <cell r="L105">
            <v>150.30000000000001</v>
          </cell>
          <cell r="M105">
            <v>26.5</v>
          </cell>
          <cell r="N105">
            <v>20.2</v>
          </cell>
          <cell r="O105">
            <v>165.5</v>
          </cell>
          <cell r="P105">
            <v>155</v>
          </cell>
          <cell r="Q105">
            <v>10.5</v>
          </cell>
        </row>
        <row r="106">
          <cell r="C106" t="str">
            <v>窯業・土石製品</v>
          </cell>
          <cell r="F106">
            <v>20</v>
          </cell>
          <cell r="G106">
            <v>166.3</v>
          </cell>
          <cell r="H106">
            <v>157.69999999999999</v>
          </cell>
          <cell r="I106">
            <v>8.6</v>
          </cell>
          <cell r="J106">
            <v>19.899999999999999</v>
          </cell>
          <cell r="K106">
            <v>168.3</v>
          </cell>
          <cell r="L106">
            <v>157.6</v>
          </cell>
          <cell r="M106">
            <v>10.7</v>
          </cell>
          <cell r="N106">
            <v>20.399999999999999</v>
          </cell>
          <cell r="O106">
            <v>158.80000000000001</v>
          </cell>
          <cell r="P106">
            <v>157.9</v>
          </cell>
          <cell r="Q106">
            <v>0.9</v>
          </cell>
        </row>
        <row r="107">
          <cell r="C107" t="str">
            <v>鉄鋼業</v>
          </cell>
          <cell r="F107" t="str">
            <v>#19.8</v>
          </cell>
          <cell r="G107" t="str">
            <v>#183.6</v>
          </cell>
          <cell r="H107" t="str">
            <v>#157.8</v>
          </cell>
          <cell r="I107" t="str">
            <v>#25.8</v>
          </cell>
          <cell r="J107" t="str">
            <v>#19.8</v>
          </cell>
          <cell r="K107" t="str">
            <v>#184.4</v>
          </cell>
          <cell r="L107" t="str">
            <v>#158.1</v>
          </cell>
          <cell r="M107" t="str">
            <v>#26.3</v>
          </cell>
          <cell r="N107" t="str">
            <v>#19.3</v>
          </cell>
          <cell r="O107" t="str">
            <v>#172.2</v>
          </cell>
          <cell r="P107" t="str">
            <v>#152.9</v>
          </cell>
          <cell r="Q107" t="str">
            <v>#19.3</v>
          </cell>
        </row>
        <row r="108">
          <cell r="C108" t="str">
            <v>非鉄金属製造業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  <cell r="Q108" t="str">
            <v>-</v>
          </cell>
        </row>
        <row r="109">
          <cell r="C109" t="str">
            <v>金属製品製造業</v>
          </cell>
          <cell r="F109">
            <v>20.2</v>
          </cell>
          <cell r="G109">
            <v>162.30000000000001</v>
          </cell>
          <cell r="H109">
            <v>153.30000000000001</v>
          </cell>
          <cell r="I109">
            <v>9</v>
          </cell>
          <cell r="J109">
            <v>20.6</v>
          </cell>
          <cell r="K109">
            <v>173.4</v>
          </cell>
          <cell r="L109">
            <v>161</v>
          </cell>
          <cell r="M109">
            <v>12.4</v>
          </cell>
          <cell r="N109">
            <v>19.7</v>
          </cell>
          <cell r="O109">
            <v>145.19999999999999</v>
          </cell>
          <cell r="P109">
            <v>141.4</v>
          </cell>
          <cell r="Q109">
            <v>3.8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18.899999999999999</v>
          </cell>
          <cell r="G112">
            <v>158.5</v>
          </cell>
          <cell r="H112">
            <v>149</v>
          </cell>
          <cell r="I112">
            <v>9.5</v>
          </cell>
          <cell r="J112">
            <v>19</v>
          </cell>
          <cell r="K112">
            <v>159.4</v>
          </cell>
          <cell r="L112">
            <v>148.4</v>
          </cell>
          <cell r="M112">
            <v>11</v>
          </cell>
          <cell r="N112">
            <v>18.8</v>
          </cell>
          <cell r="O112">
            <v>157.80000000000001</v>
          </cell>
          <cell r="P112">
            <v>149.69999999999999</v>
          </cell>
          <cell r="Q112">
            <v>8.1</v>
          </cell>
        </row>
        <row r="113">
          <cell r="C113" t="str">
            <v>電子・デバイス</v>
          </cell>
          <cell r="F113">
            <v>17.899999999999999</v>
          </cell>
          <cell r="G113">
            <v>153.30000000000001</v>
          </cell>
          <cell r="H113">
            <v>139.9</v>
          </cell>
          <cell r="I113">
            <v>13.4</v>
          </cell>
          <cell r="J113">
            <v>18.100000000000001</v>
          </cell>
          <cell r="K113">
            <v>161.1</v>
          </cell>
          <cell r="L113">
            <v>144.30000000000001</v>
          </cell>
          <cell r="M113">
            <v>16.8</v>
          </cell>
          <cell r="N113">
            <v>17.5</v>
          </cell>
          <cell r="O113">
            <v>138.5</v>
          </cell>
          <cell r="P113">
            <v>131.6</v>
          </cell>
          <cell r="Q113">
            <v>6.9</v>
          </cell>
        </row>
        <row r="114">
          <cell r="C114" t="str">
            <v>電気機械器具</v>
          </cell>
          <cell r="F114">
            <v>20.9</v>
          </cell>
          <cell r="G114">
            <v>171.9</v>
          </cell>
          <cell r="H114">
            <v>161.69999999999999</v>
          </cell>
          <cell r="I114">
            <v>10.199999999999999</v>
          </cell>
          <cell r="J114">
            <v>21.2</v>
          </cell>
          <cell r="K114">
            <v>177.2</v>
          </cell>
          <cell r="L114">
            <v>164.8</v>
          </cell>
          <cell r="M114">
            <v>12.4</v>
          </cell>
          <cell r="N114">
            <v>20.399999999999999</v>
          </cell>
          <cell r="O114">
            <v>158.5</v>
          </cell>
          <cell r="P114">
            <v>153.9</v>
          </cell>
          <cell r="Q114">
            <v>4.5999999999999996</v>
          </cell>
        </row>
        <row r="115">
          <cell r="C115" t="str">
            <v>情報通信機械器具</v>
          </cell>
          <cell r="F115" t="str">
            <v>#19.1</v>
          </cell>
          <cell r="G115" t="str">
            <v>#157.9</v>
          </cell>
          <cell r="H115" t="str">
            <v>#149.5</v>
          </cell>
          <cell r="I115" t="str">
            <v>#8.4</v>
          </cell>
          <cell r="J115" t="str">
            <v>#18.9</v>
          </cell>
          <cell r="K115" t="str">
            <v>#156.7</v>
          </cell>
          <cell r="L115" t="str">
            <v>#148.9</v>
          </cell>
          <cell r="M115" t="str">
            <v>#7.8</v>
          </cell>
          <cell r="N115" t="str">
            <v>#19.3</v>
          </cell>
          <cell r="O115" t="str">
            <v>#159.3</v>
          </cell>
          <cell r="P115" t="str">
            <v>#150.2</v>
          </cell>
          <cell r="Q115" t="str">
            <v>#9.1</v>
          </cell>
        </row>
        <row r="116">
          <cell r="C116" t="str">
            <v>輸送用機械器具</v>
          </cell>
          <cell r="F116">
            <v>19.2</v>
          </cell>
          <cell r="G116">
            <v>180.3</v>
          </cell>
          <cell r="H116">
            <v>153.4</v>
          </cell>
          <cell r="I116">
            <v>26.9</v>
          </cell>
          <cell r="J116">
            <v>19.3</v>
          </cell>
          <cell r="K116">
            <v>185.3</v>
          </cell>
          <cell r="L116">
            <v>155.80000000000001</v>
          </cell>
          <cell r="M116">
            <v>29.5</v>
          </cell>
          <cell r="N116">
            <v>19.100000000000001</v>
          </cell>
          <cell r="O116">
            <v>161.80000000000001</v>
          </cell>
          <cell r="P116">
            <v>144.69999999999999</v>
          </cell>
          <cell r="Q116">
            <v>17.100000000000001</v>
          </cell>
        </row>
        <row r="117">
          <cell r="C117" t="str">
            <v>その他の製造業</v>
          </cell>
          <cell r="F117">
            <v>20.3</v>
          </cell>
          <cell r="G117">
            <v>176.2</v>
          </cell>
          <cell r="H117">
            <v>150.9</v>
          </cell>
          <cell r="I117">
            <v>25.3</v>
          </cell>
          <cell r="J117">
            <v>20.8</v>
          </cell>
          <cell r="K117">
            <v>187.9</v>
          </cell>
          <cell r="L117">
            <v>156</v>
          </cell>
          <cell r="M117">
            <v>31.9</v>
          </cell>
          <cell r="N117">
            <v>18.399999999999999</v>
          </cell>
          <cell r="O117">
            <v>134.1</v>
          </cell>
          <cell r="P117">
            <v>132.5</v>
          </cell>
          <cell r="Q117">
            <v>1.6</v>
          </cell>
        </row>
        <row r="118">
          <cell r="C118" t="str">
            <v>Ｅ一括分１</v>
          </cell>
          <cell r="F118">
            <v>21</v>
          </cell>
          <cell r="G118">
            <v>185.2</v>
          </cell>
          <cell r="H118">
            <v>162.9</v>
          </cell>
          <cell r="I118">
            <v>22.3</v>
          </cell>
          <cell r="J118">
            <v>21.4</v>
          </cell>
          <cell r="K118">
            <v>191.2</v>
          </cell>
          <cell r="L118">
            <v>164.8</v>
          </cell>
          <cell r="M118">
            <v>26.4</v>
          </cell>
          <cell r="N118">
            <v>19.3</v>
          </cell>
          <cell r="O118">
            <v>161.69999999999999</v>
          </cell>
          <cell r="P118">
            <v>155.4</v>
          </cell>
          <cell r="Q118">
            <v>6.3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19.600000000000001</v>
          </cell>
          <cell r="G121">
            <v>164.3</v>
          </cell>
          <cell r="H121">
            <v>154.9</v>
          </cell>
          <cell r="I121">
            <v>9.4</v>
          </cell>
          <cell r="J121">
            <v>20.100000000000001</v>
          </cell>
          <cell r="K121">
            <v>172.4</v>
          </cell>
          <cell r="L121">
            <v>161.19999999999999</v>
          </cell>
          <cell r="M121">
            <v>11.2</v>
          </cell>
          <cell r="N121">
            <v>18.2</v>
          </cell>
          <cell r="O121">
            <v>138.19999999999999</v>
          </cell>
          <cell r="P121">
            <v>134.6</v>
          </cell>
          <cell r="Q121">
            <v>3.6</v>
          </cell>
        </row>
        <row r="122">
          <cell r="C122" t="str">
            <v>小売業</v>
          </cell>
          <cell r="F122">
            <v>16.7</v>
          </cell>
          <cell r="G122">
            <v>116.9</v>
          </cell>
          <cell r="H122">
            <v>110.4</v>
          </cell>
          <cell r="I122">
            <v>6.5</v>
          </cell>
          <cell r="J122">
            <v>17</v>
          </cell>
          <cell r="K122">
            <v>131.4</v>
          </cell>
          <cell r="L122">
            <v>120.4</v>
          </cell>
          <cell r="M122">
            <v>11</v>
          </cell>
          <cell r="N122">
            <v>16.5</v>
          </cell>
          <cell r="O122">
            <v>105.7</v>
          </cell>
          <cell r="P122">
            <v>102.7</v>
          </cell>
          <cell r="Q122">
            <v>3</v>
          </cell>
        </row>
        <row r="123">
          <cell r="C123" t="str">
            <v>宿泊業</v>
          </cell>
          <cell r="F123">
            <v>17.8</v>
          </cell>
          <cell r="G123">
            <v>122.5</v>
          </cell>
          <cell r="H123">
            <v>116.4</v>
          </cell>
          <cell r="I123">
            <v>6.1</v>
          </cell>
          <cell r="J123">
            <v>19.100000000000001</v>
          </cell>
          <cell r="K123">
            <v>142</v>
          </cell>
          <cell r="L123">
            <v>131.5</v>
          </cell>
          <cell r="M123">
            <v>10.5</v>
          </cell>
          <cell r="N123">
            <v>17.100000000000001</v>
          </cell>
          <cell r="O123">
            <v>110.9</v>
          </cell>
          <cell r="P123">
            <v>107.4</v>
          </cell>
          <cell r="Q123">
            <v>3.5</v>
          </cell>
        </row>
        <row r="124">
          <cell r="C124" t="str">
            <v>Ｍ一括分</v>
          </cell>
          <cell r="F124">
            <v>12.8</v>
          </cell>
          <cell r="G124">
            <v>68</v>
          </cell>
          <cell r="H124">
            <v>65.400000000000006</v>
          </cell>
          <cell r="I124">
            <v>2.6</v>
          </cell>
          <cell r="J124">
            <v>14.3</v>
          </cell>
          <cell r="K124">
            <v>81.2</v>
          </cell>
          <cell r="L124">
            <v>75.3</v>
          </cell>
          <cell r="M124">
            <v>5.9</v>
          </cell>
          <cell r="N124">
            <v>11.8</v>
          </cell>
          <cell r="O124">
            <v>59.7</v>
          </cell>
          <cell r="P124">
            <v>59.2</v>
          </cell>
          <cell r="Q124">
            <v>0.5</v>
          </cell>
        </row>
        <row r="125">
          <cell r="C125" t="str">
            <v>医療業</v>
          </cell>
          <cell r="F125">
            <v>19.7</v>
          </cell>
          <cell r="G125">
            <v>142.9</v>
          </cell>
          <cell r="H125">
            <v>138.19999999999999</v>
          </cell>
          <cell r="I125">
            <v>4.7</v>
          </cell>
          <cell r="J125">
            <v>20</v>
          </cell>
          <cell r="K125">
            <v>151.30000000000001</v>
          </cell>
          <cell r="L125">
            <v>146.1</v>
          </cell>
          <cell r="M125">
            <v>5.2</v>
          </cell>
          <cell r="N125">
            <v>19.600000000000001</v>
          </cell>
          <cell r="O125">
            <v>140.69999999999999</v>
          </cell>
          <cell r="P125">
            <v>136.1</v>
          </cell>
          <cell r="Q125">
            <v>4.5999999999999996</v>
          </cell>
        </row>
        <row r="126">
          <cell r="C126" t="str">
            <v>Ｐ一括分</v>
          </cell>
          <cell r="F126">
            <v>17.899999999999999</v>
          </cell>
          <cell r="G126">
            <v>133.80000000000001</v>
          </cell>
          <cell r="H126">
            <v>129.30000000000001</v>
          </cell>
          <cell r="I126">
            <v>4.5</v>
          </cell>
          <cell r="J126">
            <v>18.5</v>
          </cell>
          <cell r="K126">
            <v>141.69999999999999</v>
          </cell>
          <cell r="L126">
            <v>137.80000000000001</v>
          </cell>
          <cell r="M126">
            <v>3.9</v>
          </cell>
          <cell r="N126">
            <v>17.7</v>
          </cell>
          <cell r="O126">
            <v>131.19999999999999</v>
          </cell>
          <cell r="P126">
            <v>126.4</v>
          </cell>
          <cell r="Q126">
            <v>4.8</v>
          </cell>
        </row>
        <row r="127">
          <cell r="C127" t="str">
            <v>職業紹介・派遣業</v>
          </cell>
          <cell r="F127">
            <v>18.899999999999999</v>
          </cell>
          <cell r="G127">
            <v>153.9</v>
          </cell>
          <cell r="H127">
            <v>145.1</v>
          </cell>
          <cell r="I127">
            <v>8.8000000000000007</v>
          </cell>
          <cell r="J127">
            <v>18.899999999999999</v>
          </cell>
          <cell r="K127">
            <v>165.3</v>
          </cell>
          <cell r="L127">
            <v>151.6</v>
          </cell>
          <cell r="M127">
            <v>13.7</v>
          </cell>
          <cell r="N127">
            <v>18.899999999999999</v>
          </cell>
          <cell r="O127">
            <v>145.1</v>
          </cell>
          <cell r="P127">
            <v>140.1</v>
          </cell>
          <cell r="Q127">
            <v>5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18.8</v>
          </cell>
          <cell r="G129">
            <v>142.19999999999999</v>
          </cell>
          <cell r="H129">
            <v>133.80000000000001</v>
          </cell>
          <cell r="I129">
            <v>8.4</v>
          </cell>
          <cell r="J129">
            <v>19.3</v>
          </cell>
          <cell r="K129">
            <v>155.9</v>
          </cell>
          <cell r="L129">
            <v>144.19999999999999</v>
          </cell>
          <cell r="M129">
            <v>11.7</v>
          </cell>
          <cell r="N129">
            <v>18.100000000000001</v>
          </cell>
          <cell r="O129">
            <v>124.1</v>
          </cell>
          <cell r="P129">
            <v>120</v>
          </cell>
          <cell r="Q129">
            <v>4.0999999999999996</v>
          </cell>
        </row>
        <row r="130">
          <cell r="C130" t="str">
            <v>特掲産業１</v>
          </cell>
          <cell r="F130" t="str">
            <v>#14.1</v>
          </cell>
          <cell r="G130" t="str">
            <v>#111.2</v>
          </cell>
          <cell r="H130" t="str">
            <v>#107.4</v>
          </cell>
          <cell r="I130" t="str">
            <v>#3.8</v>
          </cell>
          <cell r="J130" t="str">
            <v>#14.2</v>
          </cell>
          <cell r="K130" t="str">
            <v>#114.2</v>
          </cell>
          <cell r="L130" t="str">
            <v>#110</v>
          </cell>
          <cell r="M130" t="str">
            <v>#4.2</v>
          </cell>
          <cell r="N130" t="str">
            <v>#14</v>
          </cell>
          <cell r="O130" t="str">
            <v>#104.4</v>
          </cell>
          <cell r="P130" t="str">
            <v>#101.6</v>
          </cell>
          <cell r="Q130" t="str">
            <v>#2.8</v>
          </cell>
        </row>
        <row r="131">
          <cell r="C131" t="str">
            <v>特掲産業２</v>
          </cell>
          <cell r="F131">
            <v>20.8</v>
          </cell>
          <cell r="G131">
            <v>174.1</v>
          </cell>
          <cell r="H131">
            <v>158.19999999999999</v>
          </cell>
          <cell r="I131">
            <v>15.9</v>
          </cell>
          <cell r="J131">
            <v>21.3</v>
          </cell>
          <cell r="K131">
            <v>182.2</v>
          </cell>
          <cell r="L131">
            <v>163.80000000000001</v>
          </cell>
          <cell r="M131">
            <v>18.399999999999999</v>
          </cell>
          <cell r="N131">
            <v>19.2</v>
          </cell>
          <cell r="O131">
            <v>148.4</v>
          </cell>
          <cell r="P131">
            <v>140.4</v>
          </cell>
          <cell r="Q131">
            <v>8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1.6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>
        <row r="9">
          <cell r="E9">
            <v>225251</v>
          </cell>
        </row>
      </sheetData>
      <sheetData sheetId="17">
        <row r="9">
          <cell r="E9">
            <v>18.3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10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1495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19</v>
          </cell>
          <cell r="G10">
            <v>148.80000000000001</v>
          </cell>
          <cell r="H10">
            <v>137.80000000000001</v>
          </cell>
          <cell r="I10">
            <v>11</v>
          </cell>
          <cell r="J10">
            <v>19.5</v>
          </cell>
          <cell r="K10">
            <v>161.69999999999999</v>
          </cell>
          <cell r="L10">
            <v>146.1</v>
          </cell>
          <cell r="M10">
            <v>15.6</v>
          </cell>
          <cell r="N10">
            <v>18.600000000000001</v>
          </cell>
          <cell r="O10">
            <v>136</v>
          </cell>
          <cell r="P10">
            <v>129.6</v>
          </cell>
          <cell r="Q10">
            <v>6.4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20.6</v>
          </cell>
          <cell r="G12">
            <v>167.6</v>
          </cell>
          <cell r="H12">
            <v>157.30000000000001</v>
          </cell>
          <cell r="I12">
            <v>10.3</v>
          </cell>
          <cell r="J12">
            <v>20.5</v>
          </cell>
          <cell r="K12">
            <v>168.3</v>
          </cell>
          <cell r="L12">
            <v>156.80000000000001</v>
          </cell>
          <cell r="M12">
            <v>11.5</v>
          </cell>
          <cell r="N12">
            <v>21.2</v>
          </cell>
          <cell r="O12">
            <v>165</v>
          </cell>
          <cell r="P12">
            <v>159.80000000000001</v>
          </cell>
          <cell r="Q12">
            <v>5.2</v>
          </cell>
        </row>
        <row r="13">
          <cell r="C13" t="str">
            <v>製造業</v>
          </cell>
          <cell r="F13">
            <v>19.8</v>
          </cell>
          <cell r="G13">
            <v>162.30000000000001</v>
          </cell>
          <cell r="H13">
            <v>149.30000000000001</v>
          </cell>
          <cell r="I13">
            <v>13</v>
          </cell>
          <cell r="J13">
            <v>19.899999999999999</v>
          </cell>
          <cell r="K13">
            <v>168.9</v>
          </cell>
          <cell r="L13">
            <v>152.4</v>
          </cell>
          <cell r="M13">
            <v>16.5</v>
          </cell>
          <cell r="N13">
            <v>19.600000000000001</v>
          </cell>
          <cell r="O13">
            <v>151.69999999999999</v>
          </cell>
          <cell r="P13">
            <v>144.30000000000001</v>
          </cell>
          <cell r="Q13">
            <v>7.4</v>
          </cell>
        </row>
        <row r="14">
          <cell r="C14" t="str">
            <v>電気・ガス・熱供給・水道業</v>
          </cell>
          <cell r="F14">
            <v>19.2</v>
          </cell>
          <cell r="G14">
            <v>156.6</v>
          </cell>
          <cell r="H14">
            <v>140.4</v>
          </cell>
          <cell r="I14">
            <v>16.2</v>
          </cell>
          <cell r="J14">
            <v>19.2</v>
          </cell>
          <cell r="K14">
            <v>160.1</v>
          </cell>
          <cell r="L14">
            <v>142.4</v>
          </cell>
          <cell r="M14">
            <v>17.7</v>
          </cell>
          <cell r="N14">
            <v>19</v>
          </cell>
          <cell r="O14">
            <v>135.19999999999999</v>
          </cell>
          <cell r="P14">
            <v>128.19999999999999</v>
          </cell>
          <cell r="Q14">
            <v>7</v>
          </cell>
        </row>
        <row r="15">
          <cell r="C15" t="str">
            <v>情報通信業</v>
          </cell>
          <cell r="F15">
            <v>19.3</v>
          </cell>
          <cell r="G15">
            <v>157.1</v>
          </cell>
          <cell r="H15">
            <v>144.19999999999999</v>
          </cell>
          <cell r="I15">
            <v>12.9</v>
          </cell>
          <cell r="J15">
            <v>19.399999999999999</v>
          </cell>
          <cell r="K15">
            <v>158.6</v>
          </cell>
          <cell r="L15">
            <v>145.5</v>
          </cell>
          <cell r="M15">
            <v>13.1</v>
          </cell>
          <cell r="N15">
            <v>19.2</v>
          </cell>
          <cell r="O15">
            <v>154.1</v>
          </cell>
          <cell r="P15">
            <v>141.5</v>
          </cell>
          <cell r="Q15">
            <v>12.6</v>
          </cell>
        </row>
        <row r="16">
          <cell r="C16" t="str">
            <v>運輸業，郵便業</v>
          </cell>
          <cell r="F16">
            <v>20.5</v>
          </cell>
          <cell r="G16">
            <v>174.7</v>
          </cell>
          <cell r="H16">
            <v>150.9</v>
          </cell>
          <cell r="I16">
            <v>23.8</v>
          </cell>
          <cell r="J16">
            <v>20.8</v>
          </cell>
          <cell r="K16">
            <v>180.6</v>
          </cell>
          <cell r="L16">
            <v>153.6</v>
          </cell>
          <cell r="M16">
            <v>27</v>
          </cell>
          <cell r="N16">
            <v>19.100000000000001</v>
          </cell>
          <cell r="O16">
            <v>142.9</v>
          </cell>
          <cell r="P16">
            <v>136.5</v>
          </cell>
          <cell r="Q16">
            <v>6.4</v>
          </cell>
        </row>
        <row r="17">
          <cell r="C17" t="str">
            <v>卸売業，小売業</v>
          </cell>
          <cell r="F17">
            <v>18.2</v>
          </cell>
          <cell r="G17">
            <v>126.7</v>
          </cell>
          <cell r="H17">
            <v>119.4</v>
          </cell>
          <cell r="I17">
            <v>7.3</v>
          </cell>
          <cell r="J17">
            <v>19.2</v>
          </cell>
          <cell r="K17">
            <v>151</v>
          </cell>
          <cell r="L17">
            <v>138.5</v>
          </cell>
          <cell r="M17">
            <v>12.5</v>
          </cell>
          <cell r="N17">
            <v>17.399999999999999</v>
          </cell>
          <cell r="O17">
            <v>110</v>
          </cell>
          <cell r="P17">
            <v>106.2</v>
          </cell>
          <cell r="Q17">
            <v>3.8</v>
          </cell>
        </row>
        <row r="18">
          <cell r="C18" t="str">
            <v>金融業，保険業</v>
          </cell>
          <cell r="F18">
            <v>19.600000000000001</v>
          </cell>
          <cell r="G18">
            <v>141</v>
          </cell>
          <cell r="H18">
            <v>136.6</v>
          </cell>
          <cell r="I18">
            <v>4.4000000000000004</v>
          </cell>
          <cell r="J18">
            <v>19.3</v>
          </cell>
          <cell r="K18">
            <v>140.5</v>
          </cell>
          <cell r="L18">
            <v>137.4</v>
          </cell>
          <cell r="M18">
            <v>3.1</v>
          </cell>
          <cell r="N18">
            <v>19.8</v>
          </cell>
          <cell r="O18">
            <v>141.30000000000001</v>
          </cell>
          <cell r="P18">
            <v>135.9</v>
          </cell>
          <cell r="Q18">
            <v>5.4</v>
          </cell>
        </row>
        <row r="19">
          <cell r="C19" t="str">
            <v>不動産業，物品賃貸業</v>
          </cell>
          <cell r="F19">
            <v>20.5</v>
          </cell>
          <cell r="G19">
            <v>158</v>
          </cell>
          <cell r="H19">
            <v>153.80000000000001</v>
          </cell>
          <cell r="I19">
            <v>4.2</v>
          </cell>
          <cell r="J19">
            <v>21.3</v>
          </cell>
          <cell r="K19">
            <v>171.2</v>
          </cell>
          <cell r="L19">
            <v>165.2</v>
          </cell>
          <cell r="M19">
            <v>6</v>
          </cell>
          <cell r="N19">
            <v>19.100000000000001</v>
          </cell>
          <cell r="O19">
            <v>134.6</v>
          </cell>
          <cell r="P19">
            <v>133.6</v>
          </cell>
          <cell r="Q19">
            <v>1</v>
          </cell>
        </row>
        <row r="20">
          <cell r="C20" t="str">
            <v>学術研究，専門・技術サービス業</v>
          </cell>
          <cell r="F20">
            <v>19.5</v>
          </cell>
          <cell r="G20">
            <v>164.8</v>
          </cell>
          <cell r="H20">
            <v>150.30000000000001</v>
          </cell>
          <cell r="I20">
            <v>14.5</v>
          </cell>
          <cell r="J20">
            <v>19.399999999999999</v>
          </cell>
          <cell r="K20">
            <v>166.1</v>
          </cell>
          <cell r="L20">
            <v>150.5</v>
          </cell>
          <cell r="M20">
            <v>15.6</v>
          </cell>
          <cell r="N20">
            <v>19.5</v>
          </cell>
          <cell r="O20">
            <v>159.80000000000001</v>
          </cell>
          <cell r="P20">
            <v>149.6</v>
          </cell>
          <cell r="Q20">
            <v>10.199999999999999</v>
          </cell>
        </row>
        <row r="21">
          <cell r="C21" t="str">
            <v>宿泊業，飲食サービス業</v>
          </cell>
          <cell r="F21">
            <v>15.9</v>
          </cell>
          <cell r="G21">
            <v>106.3</v>
          </cell>
          <cell r="H21">
            <v>99.8</v>
          </cell>
          <cell r="I21">
            <v>6.5</v>
          </cell>
          <cell r="J21">
            <v>16.7</v>
          </cell>
          <cell r="K21">
            <v>122.5</v>
          </cell>
          <cell r="L21">
            <v>112.3</v>
          </cell>
          <cell r="M21">
            <v>10.199999999999999</v>
          </cell>
          <cell r="N21">
            <v>15.4</v>
          </cell>
          <cell r="O21">
            <v>95.7</v>
          </cell>
          <cell r="P21">
            <v>91.6</v>
          </cell>
          <cell r="Q21">
            <v>4.0999999999999996</v>
          </cell>
        </row>
        <row r="22">
          <cell r="C22" t="str">
            <v>生活関連サービス業，娯楽業</v>
          </cell>
          <cell r="F22">
            <v>16.899999999999999</v>
          </cell>
          <cell r="G22">
            <v>140.6</v>
          </cell>
          <cell r="H22">
            <v>132.1</v>
          </cell>
          <cell r="I22">
            <v>8.5</v>
          </cell>
          <cell r="J22">
            <v>16.899999999999999</v>
          </cell>
          <cell r="K22">
            <v>145.80000000000001</v>
          </cell>
          <cell r="L22">
            <v>135.69999999999999</v>
          </cell>
          <cell r="M22">
            <v>10.1</v>
          </cell>
          <cell r="N22">
            <v>16.8</v>
          </cell>
          <cell r="O22">
            <v>132.1</v>
          </cell>
          <cell r="P22">
            <v>126.3</v>
          </cell>
          <cell r="Q22">
            <v>5.8</v>
          </cell>
        </row>
        <row r="23">
          <cell r="C23" t="str">
            <v>教育，学習支援業</v>
          </cell>
          <cell r="F23">
            <v>19.100000000000001</v>
          </cell>
          <cell r="G23">
            <v>170.2</v>
          </cell>
          <cell r="H23">
            <v>140.30000000000001</v>
          </cell>
          <cell r="I23">
            <v>29.9</v>
          </cell>
          <cell r="J23">
            <v>19.399999999999999</v>
          </cell>
          <cell r="K23">
            <v>182.2</v>
          </cell>
          <cell r="L23">
            <v>144.9</v>
          </cell>
          <cell r="M23">
            <v>37.299999999999997</v>
          </cell>
          <cell r="N23">
            <v>18.899999999999999</v>
          </cell>
          <cell r="O23">
            <v>159.19999999999999</v>
          </cell>
          <cell r="P23">
            <v>136.1</v>
          </cell>
          <cell r="Q23">
            <v>23.1</v>
          </cell>
        </row>
        <row r="24">
          <cell r="C24" t="str">
            <v>医療，福祉</v>
          </cell>
          <cell r="F24">
            <v>19.100000000000001</v>
          </cell>
          <cell r="G24">
            <v>142.9</v>
          </cell>
          <cell r="H24">
            <v>138.9</v>
          </cell>
          <cell r="I24">
            <v>4</v>
          </cell>
          <cell r="J24">
            <v>19.399999999999999</v>
          </cell>
          <cell r="K24">
            <v>149.69999999999999</v>
          </cell>
          <cell r="L24">
            <v>145</v>
          </cell>
          <cell r="M24">
            <v>4.7</v>
          </cell>
          <cell r="N24">
            <v>18.899999999999999</v>
          </cell>
          <cell r="O24">
            <v>140.30000000000001</v>
          </cell>
          <cell r="P24">
            <v>136.6</v>
          </cell>
          <cell r="Q24">
            <v>3.7</v>
          </cell>
        </row>
        <row r="25">
          <cell r="C25" t="str">
            <v>複合サービス事業</v>
          </cell>
          <cell r="F25">
            <v>19.2</v>
          </cell>
          <cell r="G25">
            <v>151.69999999999999</v>
          </cell>
          <cell r="H25">
            <v>148</v>
          </cell>
          <cell r="I25">
            <v>3.7</v>
          </cell>
          <cell r="J25">
            <v>19.7</v>
          </cell>
          <cell r="K25">
            <v>159.4</v>
          </cell>
          <cell r="L25">
            <v>154.6</v>
          </cell>
          <cell r="M25">
            <v>4.8</v>
          </cell>
          <cell r="N25">
            <v>18.399999999999999</v>
          </cell>
          <cell r="O25">
            <v>139.9</v>
          </cell>
          <cell r="P25">
            <v>137.80000000000001</v>
          </cell>
          <cell r="Q25">
            <v>2.1</v>
          </cell>
        </row>
        <row r="26">
          <cell r="C26" t="str">
            <v>サービス業（他に分類されないもの）</v>
          </cell>
          <cell r="F26">
            <v>18.600000000000001</v>
          </cell>
          <cell r="G26">
            <v>142.19999999999999</v>
          </cell>
          <cell r="H26">
            <v>132.6</v>
          </cell>
          <cell r="I26">
            <v>9.6</v>
          </cell>
          <cell r="J26">
            <v>18.7</v>
          </cell>
          <cell r="K26">
            <v>156.30000000000001</v>
          </cell>
          <cell r="L26">
            <v>142.5</v>
          </cell>
          <cell r="M26">
            <v>13.8</v>
          </cell>
          <cell r="N26">
            <v>18.3</v>
          </cell>
          <cell r="O26">
            <v>126.1</v>
          </cell>
          <cell r="P26">
            <v>121.3</v>
          </cell>
          <cell r="Q26">
            <v>4.8</v>
          </cell>
        </row>
        <row r="27">
          <cell r="C27" t="str">
            <v>食料品・たばこ</v>
          </cell>
          <cell r="F27">
            <v>19.600000000000001</v>
          </cell>
          <cell r="G27">
            <v>156.5</v>
          </cell>
          <cell r="H27">
            <v>146</v>
          </cell>
          <cell r="I27">
            <v>10.5</v>
          </cell>
          <cell r="J27">
            <v>19.8</v>
          </cell>
          <cell r="K27">
            <v>166</v>
          </cell>
          <cell r="L27">
            <v>151.80000000000001</v>
          </cell>
          <cell r="M27">
            <v>14.2</v>
          </cell>
          <cell r="N27">
            <v>19.399999999999999</v>
          </cell>
          <cell r="O27">
            <v>148.4</v>
          </cell>
          <cell r="P27">
            <v>141.1</v>
          </cell>
          <cell r="Q27">
            <v>7.3</v>
          </cell>
        </row>
        <row r="28">
          <cell r="C28" t="str">
            <v>繊維工業</v>
          </cell>
          <cell r="F28">
            <v>20</v>
          </cell>
          <cell r="G28">
            <v>160.69999999999999</v>
          </cell>
          <cell r="H28">
            <v>148.19999999999999</v>
          </cell>
          <cell r="I28">
            <v>12.5</v>
          </cell>
          <cell r="J28">
            <v>19.399999999999999</v>
          </cell>
          <cell r="K28">
            <v>158.9</v>
          </cell>
          <cell r="L28">
            <v>144.69999999999999</v>
          </cell>
          <cell r="M28">
            <v>14.2</v>
          </cell>
          <cell r="N28">
            <v>20.399999999999999</v>
          </cell>
          <cell r="O28">
            <v>162</v>
          </cell>
          <cell r="P28">
            <v>150.69999999999999</v>
          </cell>
          <cell r="Q28">
            <v>11.3</v>
          </cell>
        </row>
        <row r="29">
          <cell r="C29" t="str">
            <v>木材・木製品</v>
          </cell>
          <cell r="F29">
            <v>19.3</v>
          </cell>
          <cell r="G29">
            <v>156.30000000000001</v>
          </cell>
          <cell r="H29">
            <v>144.4</v>
          </cell>
          <cell r="I29">
            <v>11.9</v>
          </cell>
          <cell r="J29">
            <v>18.899999999999999</v>
          </cell>
          <cell r="K29">
            <v>160.9</v>
          </cell>
          <cell r="L29">
            <v>146.9</v>
          </cell>
          <cell r="M29">
            <v>14</v>
          </cell>
          <cell r="N29">
            <v>20.9</v>
          </cell>
          <cell r="O29">
            <v>138.6</v>
          </cell>
          <cell r="P29">
            <v>134.69999999999999</v>
          </cell>
          <cell r="Q29">
            <v>3.9</v>
          </cell>
        </row>
        <row r="30">
          <cell r="C30" t="str">
            <v>家具・装備品</v>
          </cell>
          <cell r="F30" t="str">
            <v>#20.4</v>
          </cell>
          <cell r="G30" t="str">
            <v>#153.4</v>
          </cell>
          <cell r="H30" t="str">
            <v>#153.4</v>
          </cell>
          <cell r="I30" t="str">
            <v>#0</v>
          </cell>
          <cell r="J30" t="str">
            <v>#20.9</v>
          </cell>
          <cell r="K30" t="str">
            <v>#161.9</v>
          </cell>
          <cell r="L30" t="str">
            <v>#161.9</v>
          </cell>
          <cell r="M30" t="str">
            <v>#0</v>
          </cell>
          <cell r="N30" t="str">
            <v>#19.3</v>
          </cell>
          <cell r="O30" t="str">
            <v>#133.7</v>
          </cell>
          <cell r="P30" t="str">
            <v>#133.7</v>
          </cell>
          <cell r="Q30" t="str">
            <v>#0</v>
          </cell>
        </row>
        <row r="31">
          <cell r="C31" t="str">
            <v>パルプ・紙</v>
          </cell>
          <cell r="F31" t="str">
            <v>#19.5</v>
          </cell>
          <cell r="G31" t="str">
            <v>#154.4</v>
          </cell>
          <cell r="H31" t="str">
            <v>#145.5</v>
          </cell>
          <cell r="I31" t="str">
            <v>#8.9</v>
          </cell>
          <cell r="J31" t="str">
            <v>#19.4</v>
          </cell>
          <cell r="K31" t="str">
            <v>#155.2</v>
          </cell>
          <cell r="L31" t="str">
            <v>#144.2</v>
          </cell>
          <cell r="M31" t="str">
            <v>#11</v>
          </cell>
          <cell r="N31" t="str">
            <v>#19.8</v>
          </cell>
          <cell r="O31" t="str">
            <v>#152.3</v>
          </cell>
          <cell r="P31" t="str">
            <v>#149.7</v>
          </cell>
          <cell r="Q31" t="str">
            <v>#2.6</v>
          </cell>
        </row>
        <row r="32">
          <cell r="C32" t="str">
            <v>印刷・同関連業</v>
          </cell>
          <cell r="F32">
            <v>17.899999999999999</v>
          </cell>
          <cell r="G32">
            <v>126.5</v>
          </cell>
          <cell r="H32">
            <v>118</v>
          </cell>
          <cell r="I32">
            <v>8.5</v>
          </cell>
          <cell r="J32">
            <v>18.600000000000001</v>
          </cell>
          <cell r="K32">
            <v>134.4</v>
          </cell>
          <cell r="L32">
            <v>124.3</v>
          </cell>
          <cell r="M32">
            <v>10.1</v>
          </cell>
          <cell r="N32">
            <v>16.2</v>
          </cell>
          <cell r="O32">
            <v>106.7</v>
          </cell>
          <cell r="P32">
            <v>102.2</v>
          </cell>
          <cell r="Q32">
            <v>4.5</v>
          </cell>
        </row>
        <row r="33">
          <cell r="C33" t="str">
            <v>化学、石油・石炭</v>
          </cell>
          <cell r="F33">
            <v>19.899999999999999</v>
          </cell>
          <cell r="G33">
            <v>163</v>
          </cell>
          <cell r="H33">
            <v>147.69999999999999</v>
          </cell>
          <cell r="I33">
            <v>15.3</v>
          </cell>
          <cell r="J33">
            <v>19.7</v>
          </cell>
          <cell r="K33">
            <v>162.6</v>
          </cell>
          <cell r="L33">
            <v>146.5</v>
          </cell>
          <cell r="M33">
            <v>16.100000000000001</v>
          </cell>
          <cell r="N33">
            <v>21.6</v>
          </cell>
          <cell r="O33">
            <v>167.5</v>
          </cell>
          <cell r="P33">
            <v>162.6</v>
          </cell>
          <cell r="Q33">
            <v>4.9000000000000004</v>
          </cell>
        </row>
        <row r="34">
          <cell r="C34" t="str">
            <v>プラスチック製品</v>
          </cell>
          <cell r="F34">
            <v>21.2</v>
          </cell>
          <cell r="G34">
            <v>162.69999999999999</v>
          </cell>
          <cell r="H34">
            <v>152.80000000000001</v>
          </cell>
          <cell r="I34">
            <v>9.9</v>
          </cell>
          <cell r="J34">
            <v>21.3</v>
          </cell>
          <cell r="K34">
            <v>172.8</v>
          </cell>
          <cell r="L34">
            <v>159.5</v>
          </cell>
          <cell r="M34">
            <v>13.3</v>
          </cell>
          <cell r="N34">
            <v>21</v>
          </cell>
          <cell r="O34">
            <v>137</v>
          </cell>
          <cell r="P34">
            <v>135.69999999999999</v>
          </cell>
          <cell r="Q34">
            <v>1.3</v>
          </cell>
        </row>
        <row r="35">
          <cell r="C35" t="str">
            <v>ゴム製品</v>
          </cell>
          <cell r="F35">
            <v>21.1</v>
          </cell>
          <cell r="G35">
            <v>178.8</v>
          </cell>
          <cell r="H35">
            <v>155.4</v>
          </cell>
          <cell r="I35">
            <v>23.4</v>
          </cell>
          <cell r="J35">
            <v>21.3</v>
          </cell>
          <cell r="K35">
            <v>180.9</v>
          </cell>
          <cell r="L35">
            <v>155.4</v>
          </cell>
          <cell r="M35">
            <v>25.5</v>
          </cell>
          <cell r="N35">
            <v>20.3</v>
          </cell>
          <cell r="O35">
            <v>165</v>
          </cell>
          <cell r="P35">
            <v>155.6</v>
          </cell>
          <cell r="Q35">
            <v>9.4</v>
          </cell>
        </row>
        <row r="36">
          <cell r="C36" t="str">
            <v>窯業・土石製品</v>
          </cell>
          <cell r="F36">
            <v>19.5</v>
          </cell>
          <cell r="G36">
            <v>157.19999999999999</v>
          </cell>
          <cell r="H36">
            <v>145.6</v>
          </cell>
          <cell r="I36">
            <v>11.6</v>
          </cell>
          <cell r="J36">
            <v>19.7</v>
          </cell>
          <cell r="K36">
            <v>165</v>
          </cell>
          <cell r="L36">
            <v>150.6</v>
          </cell>
          <cell r="M36">
            <v>14.4</v>
          </cell>
          <cell r="N36">
            <v>18.7</v>
          </cell>
          <cell r="O36">
            <v>130</v>
          </cell>
          <cell r="P36">
            <v>128.19999999999999</v>
          </cell>
          <cell r="Q36">
            <v>1.8</v>
          </cell>
        </row>
        <row r="37">
          <cell r="C37" t="str">
            <v>鉄鋼業</v>
          </cell>
          <cell r="F37" t="str">
            <v>#20.2</v>
          </cell>
          <cell r="G37" t="str">
            <v>#184.8</v>
          </cell>
          <cell r="H37" t="str">
            <v>#158.7</v>
          </cell>
          <cell r="I37" t="str">
            <v>#26.1</v>
          </cell>
          <cell r="J37" t="str">
            <v>#20.2</v>
          </cell>
          <cell r="K37" t="str">
            <v>#185.4</v>
          </cell>
          <cell r="L37" t="str">
            <v>#158.8</v>
          </cell>
          <cell r="M37" t="str">
            <v>#26.6</v>
          </cell>
          <cell r="N37" t="str">
            <v>#19.8</v>
          </cell>
          <cell r="O37" t="str">
            <v>#175.6</v>
          </cell>
          <cell r="P37" t="str">
            <v>#156.9</v>
          </cell>
          <cell r="Q37" t="str">
            <v>#18.7</v>
          </cell>
        </row>
        <row r="38">
          <cell r="C38" t="str">
            <v>非鉄金属製造業</v>
          </cell>
          <cell r="F38" t="str">
            <v>#19.8</v>
          </cell>
          <cell r="G38" t="str">
            <v>#158.8</v>
          </cell>
          <cell r="H38" t="str">
            <v>#155.9</v>
          </cell>
          <cell r="I38" t="str">
            <v>#2.9</v>
          </cell>
          <cell r="J38" t="str">
            <v>#19.8</v>
          </cell>
          <cell r="K38" t="str">
            <v>#163.7</v>
          </cell>
          <cell r="L38" t="str">
            <v>#158.8</v>
          </cell>
          <cell r="M38" t="str">
            <v>#4.9</v>
          </cell>
          <cell r="N38" t="str">
            <v>#19.7</v>
          </cell>
          <cell r="O38" t="str">
            <v>#153.8</v>
          </cell>
          <cell r="P38" t="str">
            <v>#153</v>
          </cell>
          <cell r="Q38" t="str">
            <v>#0.8</v>
          </cell>
        </row>
        <row r="39">
          <cell r="C39" t="str">
            <v>金属製品製造業</v>
          </cell>
          <cell r="F39">
            <v>20.8</v>
          </cell>
          <cell r="G39">
            <v>173.4</v>
          </cell>
          <cell r="H39">
            <v>161.30000000000001</v>
          </cell>
          <cell r="I39">
            <v>12.1</v>
          </cell>
          <cell r="J39">
            <v>20.6</v>
          </cell>
          <cell r="K39">
            <v>175.3</v>
          </cell>
          <cell r="L39">
            <v>160.5</v>
          </cell>
          <cell r="M39">
            <v>14.8</v>
          </cell>
          <cell r="N39">
            <v>21.4</v>
          </cell>
          <cell r="O39">
            <v>167.3</v>
          </cell>
          <cell r="P39">
            <v>163.80000000000001</v>
          </cell>
          <cell r="Q39">
            <v>3.5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19.600000000000001</v>
          </cell>
          <cell r="G42">
            <v>161.69999999999999</v>
          </cell>
          <cell r="H42">
            <v>152.30000000000001</v>
          </cell>
          <cell r="I42">
            <v>9.4</v>
          </cell>
          <cell r="J42">
            <v>20.100000000000001</v>
          </cell>
          <cell r="K42">
            <v>166.3</v>
          </cell>
          <cell r="L42">
            <v>154.80000000000001</v>
          </cell>
          <cell r="M42">
            <v>11.5</v>
          </cell>
          <cell r="N42">
            <v>19.100000000000001</v>
          </cell>
          <cell r="O42">
            <v>157.30000000000001</v>
          </cell>
          <cell r="P42">
            <v>149.9</v>
          </cell>
          <cell r="Q42">
            <v>7.4</v>
          </cell>
        </row>
        <row r="43">
          <cell r="C43" t="str">
            <v>電子・デバイス</v>
          </cell>
          <cell r="F43">
            <v>18.3</v>
          </cell>
          <cell r="G43">
            <v>154.69999999999999</v>
          </cell>
          <cell r="H43">
            <v>142.1</v>
          </cell>
          <cell r="I43">
            <v>12.6</v>
          </cell>
          <cell r="J43">
            <v>18.2</v>
          </cell>
          <cell r="K43">
            <v>160.19999999999999</v>
          </cell>
          <cell r="L43">
            <v>144.4</v>
          </cell>
          <cell r="M43">
            <v>15.8</v>
          </cell>
          <cell r="N43">
            <v>18.399999999999999</v>
          </cell>
          <cell r="O43">
            <v>144.1</v>
          </cell>
          <cell r="P43">
            <v>137.6</v>
          </cell>
          <cell r="Q43">
            <v>6.5</v>
          </cell>
        </row>
        <row r="44">
          <cell r="C44" t="str">
            <v>電気機械器具</v>
          </cell>
          <cell r="F44">
            <v>20.399999999999999</v>
          </cell>
          <cell r="G44">
            <v>164.7</v>
          </cell>
          <cell r="H44">
            <v>158.80000000000001</v>
          </cell>
          <cell r="I44">
            <v>5.9</v>
          </cell>
          <cell r="J44">
            <v>20.9</v>
          </cell>
          <cell r="K44">
            <v>170.5</v>
          </cell>
          <cell r="L44">
            <v>162.6</v>
          </cell>
          <cell r="M44">
            <v>7.9</v>
          </cell>
          <cell r="N44">
            <v>19.5</v>
          </cell>
          <cell r="O44">
            <v>153</v>
          </cell>
          <cell r="P44">
            <v>151.1</v>
          </cell>
          <cell r="Q44">
            <v>1.9</v>
          </cell>
        </row>
        <row r="45">
          <cell r="C45" t="str">
            <v>情報通信機械器具</v>
          </cell>
          <cell r="F45" t="str">
            <v>#19</v>
          </cell>
          <cell r="G45" t="str">
            <v>#158.5</v>
          </cell>
          <cell r="H45" t="str">
            <v>#149.8</v>
          </cell>
          <cell r="I45" t="str">
            <v>#8.7</v>
          </cell>
          <cell r="J45" t="str">
            <v>#20.1</v>
          </cell>
          <cell r="K45" t="str">
            <v>#165.2</v>
          </cell>
          <cell r="L45" t="str">
            <v>#156.4</v>
          </cell>
          <cell r="M45" t="str">
            <v>#8.8</v>
          </cell>
          <cell r="N45" t="str">
            <v>#17.9</v>
          </cell>
          <cell r="O45" t="str">
            <v>#151.1</v>
          </cell>
          <cell r="P45" t="str">
            <v>#142.5</v>
          </cell>
          <cell r="Q45" t="str">
            <v>#8.6</v>
          </cell>
        </row>
        <row r="46">
          <cell r="C46" t="str">
            <v>輸送用機械器具</v>
          </cell>
          <cell r="F46">
            <v>20.2</v>
          </cell>
          <cell r="G46">
            <v>191.3</v>
          </cell>
          <cell r="H46">
            <v>162.30000000000001</v>
          </cell>
          <cell r="I46">
            <v>29</v>
          </cell>
          <cell r="J46">
            <v>20.2</v>
          </cell>
          <cell r="K46">
            <v>194.3</v>
          </cell>
          <cell r="L46">
            <v>163.69999999999999</v>
          </cell>
          <cell r="M46">
            <v>30.6</v>
          </cell>
          <cell r="N46">
            <v>20.2</v>
          </cell>
          <cell r="O46">
            <v>178.2</v>
          </cell>
          <cell r="P46">
            <v>156.19999999999999</v>
          </cell>
          <cell r="Q46">
            <v>22</v>
          </cell>
        </row>
        <row r="47">
          <cell r="C47" t="str">
            <v>その他の製造業</v>
          </cell>
          <cell r="F47">
            <v>20.3</v>
          </cell>
          <cell r="G47">
            <v>174.4</v>
          </cell>
          <cell r="H47">
            <v>147.30000000000001</v>
          </cell>
          <cell r="I47">
            <v>27.1</v>
          </cell>
          <cell r="J47">
            <v>20.8</v>
          </cell>
          <cell r="K47">
            <v>185.4</v>
          </cell>
          <cell r="L47">
            <v>151.1</v>
          </cell>
          <cell r="M47">
            <v>34.299999999999997</v>
          </cell>
          <cell r="N47">
            <v>18.5</v>
          </cell>
          <cell r="O47">
            <v>134.69999999999999</v>
          </cell>
          <cell r="P47">
            <v>133.5</v>
          </cell>
          <cell r="Q47">
            <v>1.2</v>
          </cell>
        </row>
        <row r="48">
          <cell r="C48" t="str">
            <v>Ｅ一括分１</v>
          </cell>
          <cell r="F48">
            <v>20.100000000000001</v>
          </cell>
          <cell r="G48">
            <v>169.2</v>
          </cell>
          <cell r="H48">
            <v>159.69999999999999</v>
          </cell>
          <cell r="I48">
            <v>9.5</v>
          </cell>
          <cell r="J48">
            <v>20.5</v>
          </cell>
          <cell r="K48">
            <v>176.4</v>
          </cell>
          <cell r="L48">
            <v>163.4</v>
          </cell>
          <cell r="M48">
            <v>13</v>
          </cell>
          <cell r="N48">
            <v>19.5</v>
          </cell>
          <cell r="O48">
            <v>158.30000000000001</v>
          </cell>
          <cell r="P48">
            <v>154.1</v>
          </cell>
          <cell r="Q48">
            <v>4.2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20.3</v>
          </cell>
          <cell r="G51">
            <v>164.5</v>
          </cell>
          <cell r="H51">
            <v>154.9</v>
          </cell>
          <cell r="I51">
            <v>9.6</v>
          </cell>
          <cell r="J51">
            <v>20.399999999999999</v>
          </cell>
          <cell r="K51">
            <v>169.5</v>
          </cell>
          <cell r="L51">
            <v>156.80000000000001</v>
          </cell>
          <cell r="M51">
            <v>12.7</v>
          </cell>
          <cell r="N51">
            <v>20.2</v>
          </cell>
          <cell r="O51">
            <v>154.4</v>
          </cell>
          <cell r="P51">
            <v>151</v>
          </cell>
          <cell r="Q51">
            <v>3.4</v>
          </cell>
        </row>
        <row r="52">
          <cell r="C52" t="str">
            <v>小売業</v>
          </cell>
          <cell r="F52">
            <v>17.5</v>
          </cell>
          <cell r="G52">
            <v>115.9</v>
          </cell>
          <cell r="H52">
            <v>109.2</v>
          </cell>
          <cell r="I52">
            <v>6.7</v>
          </cell>
          <cell r="J52">
            <v>18.5</v>
          </cell>
          <cell r="K52">
            <v>140.4</v>
          </cell>
          <cell r="L52">
            <v>128</v>
          </cell>
          <cell r="M52">
            <v>12.4</v>
          </cell>
          <cell r="N52">
            <v>17</v>
          </cell>
          <cell r="O52">
            <v>103.6</v>
          </cell>
          <cell r="P52">
            <v>99.8</v>
          </cell>
          <cell r="Q52">
            <v>3.8</v>
          </cell>
        </row>
        <row r="53">
          <cell r="C53" t="str">
            <v>宿泊業</v>
          </cell>
          <cell r="F53">
            <v>18.899999999999999</v>
          </cell>
          <cell r="G53">
            <v>138.19999999999999</v>
          </cell>
          <cell r="H53">
            <v>127.6</v>
          </cell>
          <cell r="I53">
            <v>10.6</v>
          </cell>
          <cell r="J53">
            <v>19.2</v>
          </cell>
          <cell r="K53">
            <v>156.4</v>
          </cell>
          <cell r="L53">
            <v>140.9</v>
          </cell>
          <cell r="M53">
            <v>15.5</v>
          </cell>
          <cell r="N53">
            <v>18.7</v>
          </cell>
          <cell r="O53">
            <v>122.8</v>
          </cell>
          <cell r="P53">
            <v>116.3</v>
          </cell>
          <cell r="Q53">
            <v>6.5</v>
          </cell>
        </row>
        <row r="54">
          <cell r="C54" t="str">
            <v>Ｍ一括分</v>
          </cell>
          <cell r="F54">
            <v>13.5</v>
          </cell>
          <cell r="G54">
            <v>80.8</v>
          </cell>
          <cell r="H54">
            <v>77.5</v>
          </cell>
          <cell r="I54">
            <v>3.3</v>
          </cell>
          <cell r="J54">
            <v>14.1</v>
          </cell>
          <cell r="K54">
            <v>86.5</v>
          </cell>
          <cell r="L54">
            <v>81.900000000000006</v>
          </cell>
          <cell r="M54">
            <v>4.5999999999999996</v>
          </cell>
          <cell r="N54">
            <v>13.2</v>
          </cell>
          <cell r="O54">
            <v>77.599999999999994</v>
          </cell>
          <cell r="P54">
            <v>75.099999999999994</v>
          </cell>
          <cell r="Q54">
            <v>2.5</v>
          </cell>
        </row>
        <row r="55">
          <cell r="C55" t="str">
            <v>医療業</v>
          </cell>
          <cell r="F55">
            <v>19.2</v>
          </cell>
          <cell r="G55">
            <v>145.9</v>
          </cell>
          <cell r="H55">
            <v>141.1</v>
          </cell>
          <cell r="I55">
            <v>4.8</v>
          </cell>
          <cell r="J55">
            <v>19.600000000000001</v>
          </cell>
          <cell r="K55">
            <v>151.69999999999999</v>
          </cell>
          <cell r="L55">
            <v>146.30000000000001</v>
          </cell>
          <cell r="M55">
            <v>5.4</v>
          </cell>
          <cell r="N55">
            <v>19</v>
          </cell>
          <cell r="O55">
            <v>144</v>
          </cell>
          <cell r="P55">
            <v>139.30000000000001</v>
          </cell>
          <cell r="Q55">
            <v>4.7</v>
          </cell>
        </row>
        <row r="56">
          <cell r="C56" t="str">
            <v>Ｐ一括分</v>
          </cell>
          <cell r="F56">
            <v>18.899999999999999</v>
          </cell>
          <cell r="G56">
            <v>138.69999999999999</v>
          </cell>
          <cell r="H56">
            <v>135.9</v>
          </cell>
          <cell r="I56">
            <v>2.8</v>
          </cell>
          <cell r="J56">
            <v>19.100000000000001</v>
          </cell>
          <cell r="K56">
            <v>147.19999999999999</v>
          </cell>
          <cell r="L56">
            <v>143.4</v>
          </cell>
          <cell r="M56">
            <v>3.8</v>
          </cell>
          <cell r="N56">
            <v>18.899999999999999</v>
          </cell>
          <cell r="O56">
            <v>135.1</v>
          </cell>
          <cell r="P56">
            <v>132.69999999999999</v>
          </cell>
          <cell r="Q56">
            <v>2.4</v>
          </cell>
        </row>
        <row r="57">
          <cell r="C57" t="str">
            <v>職業紹介・派遣業</v>
          </cell>
          <cell r="F57">
            <v>19</v>
          </cell>
          <cell r="G57">
            <v>152.4</v>
          </cell>
          <cell r="H57">
            <v>144</v>
          </cell>
          <cell r="I57">
            <v>8.4</v>
          </cell>
          <cell r="J57">
            <v>19.100000000000001</v>
          </cell>
          <cell r="K57">
            <v>163.9</v>
          </cell>
          <cell r="L57">
            <v>150.4</v>
          </cell>
          <cell r="M57">
            <v>13.5</v>
          </cell>
          <cell r="N57">
            <v>19</v>
          </cell>
          <cell r="O57">
            <v>144.1</v>
          </cell>
          <cell r="P57">
            <v>139.4</v>
          </cell>
          <cell r="Q57">
            <v>4.7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18.399999999999999</v>
          </cell>
          <cell r="G59">
            <v>139.5</v>
          </cell>
          <cell r="H59">
            <v>129.5</v>
          </cell>
          <cell r="I59">
            <v>10</v>
          </cell>
          <cell r="J59">
            <v>18.7</v>
          </cell>
          <cell r="K59">
            <v>154.80000000000001</v>
          </cell>
          <cell r="L59">
            <v>140.9</v>
          </cell>
          <cell r="M59">
            <v>13.9</v>
          </cell>
          <cell r="N59">
            <v>18.100000000000001</v>
          </cell>
          <cell r="O59">
            <v>119.7</v>
          </cell>
          <cell r="P59">
            <v>114.8</v>
          </cell>
          <cell r="Q59">
            <v>4.9000000000000004</v>
          </cell>
        </row>
        <row r="60">
          <cell r="C60" t="str">
            <v>特掲産業１</v>
          </cell>
          <cell r="F60" t="str">
            <v>#14.7</v>
          </cell>
          <cell r="G60" t="str">
            <v>#116.8</v>
          </cell>
          <cell r="H60" t="str">
            <v>#111.8</v>
          </cell>
          <cell r="I60" t="str">
            <v>#5</v>
          </cell>
          <cell r="J60" t="str">
            <v>#15</v>
          </cell>
          <cell r="K60" t="str">
            <v>#122.5</v>
          </cell>
          <cell r="L60" t="str">
            <v>#116.6</v>
          </cell>
          <cell r="M60" t="str">
            <v>#5.9</v>
          </cell>
          <cell r="N60" t="str">
            <v>#14</v>
          </cell>
          <cell r="O60" t="str">
            <v>#104.4</v>
          </cell>
          <cell r="P60" t="str">
            <v>#101.4</v>
          </cell>
          <cell r="Q60" t="str">
            <v>#3</v>
          </cell>
        </row>
        <row r="61">
          <cell r="C61" t="str">
            <v>特掲産業２</v>
          </cell>
          <cell r="F61" t="str">
            <v>#18.3</v>
          </cell>
          <cell r="G61" t="str">
            <v>#142.8</v>
          </cell>
          <cell r="H61" t="str">
            <v>#132.2</v>
          </cell>
          <cell r="I61" t="str">
            <v>#10.6</v>
          </cell>
          <cell r="J61" t="str">
            <v>#19.1</v>
          </cell>
          <cell r="K61" t="str">
            <v>#161.8</v>
          </cell>
          <cell r="L61" t="str">
            <v>#144.8</v>
          </cell>
          <cell r="M61" t="str">
            <v>#17</v>
          </cell>
          <cell r="N61" t="str">
            <v>#17.3</v>
          </cell>
          <cell r="O61" t="str">
            <v>#117</v>
          </cell>
          <cell r="P61" t="str">
            <v>#115</v>
          </cell>
          <cell r="Q61" t="str">
            <v>#2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18.5</v>
          </cell>
          <cell r="G80">
            <v>141.5</v>
          </cell>
          <cell r="H80">
            <v>132.1</v>
          </cell>
          <cell r="I80">
            <v>9.4</v>
          </cell>
          <cell r="J80">
            <v>19.399999999999999</v>
          </cell>
          <cell r="K80">
            <v>158.19999999999999</v>
          </cell>
          <cell r="L80">
            <v>144.4</v>
          </cell>
          <cell r="M80">
            <v>13.8</v>
          </cell>
          <cell r="N80">
            <v>17.7</v>
          </cell>
          <cell r="O80">
            <v>125.3</v>
          </cell>
          <cell r="P80">
            <v>120.1</v>
          </cell>
          <cell r="Q80">
            <v>5.2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21.6</v>
          </cell>
          <cell r="G82">
            <v>167.8</v>
          </cell>
          <cell r="H82">
            <v>160.1</v>
          </cell>
          <cell r="I82">
            <v>7.7</v>
          </cell>
          <cell r="J82">
            <v>21.8</v>
          </cell>
          <cell r="K82">
            <v>171.1</v>
          </cell>
          <cell r="L82">
            <v>162.6</v>
          </cell>
          <cell r="M82">
            <v>8.5</v>
          </cell>
          <cell r="N82">
            <v>20.399999999999999</v>
          </cell>
          <cell r="O82">
            <v>147.9</v>
          </cell>
          <cell r="P82">
            <v>144.9</v>
          </cell>
          <cell r="Q82">
            <v>3</v>
          </cell>
        </row>
        <row r="83">
          <cell r="C83" t="str">
            <v>製造業</v>
          </cell>
          <cell r="F83">
            <v>19.600000000000001</v>
          </cell>
          <cell r="G83">
            <v>158.19999999999999</v>
          </cell>
          <cell r="H83">
            <v>146</v>
          </cell>
          <cell r="I83">
            <v>12.2</v>
          </cell>
          <cell r="J83">
            <v>20</v>
          </cell>
          <cell r="K83">
            <v>169</v>
          </cell>
          <cell r="L83">
            <v>152.69999999999999</v>
          </cell>
          <cell r="M83">
            <v>16.3</v>
          </cell>
          <cell r="N83">
            <v>19</v>
          </cell>
          <cell r="O83">
            <v>143.5</v>
          </cell>
          <cell r="P83">
            <v>136.80000000000001</v>
          </cell>
          <cell r="Q83">
            <v>6.7</v>
          </cell>
        </row>
        <row r="84">
          <cell r="C84" t="str">
            <v>電気・ガス・熱供給・水道業</v>
          </cell>
          <cell r="F84">
            <v>19.2</v>
          </cell>
          <cell r="G84">
            <v>156.6</v>
          </cell>
          <cell r="H84">
            <v>140.4</v>
          </cell>
          <cell r="I84">
            <v>16.2</v>
          </cell>
          <cell r="J84">
            <v>19.2</v>
          </cell>
          <cell r="K84">
            <v>160.1</v>
          </cell>
          <cell r="L84">
            <v>142.4</v>
          </cell>
          <cell r="M84">
            <v>17.7</v>
          </cell>
          <cell r="N84">
            <v>19</v>
          </cell>
          <cell r="O84">
            <v>135.19999999999999</v>
          </cell>
          <cell r="P84">
            <v>128.19999999999999</v>
          </cell>
          <cell r="Q84">
            <v>7</v>
          </cell>
        </row>
        <row r="85">
          <cell r="C85" t="str">
            <v>情報通信業</v>
          </cell>
          <cell r="F85">
            <v>19.399999999999999</v>
          </cell>
          <cell r="G85">
            <v>156.4</v>
          </cell>
          <cell r="H85">
            <v>144.5</v>
          </cell>
          <cell r="I85">
            <v>11.9</v>
          </cell>
          <cell r="J85">
            <v>19.5</v>
          </cell>
          <cell r="K85">
            <v>158.6</v>
          </cell>
          <cell r="L85">
            <v>146.4</v>
          </cell>
          <cell r="M85">
            <v>12.2</v>
          </cell>
          <cell r="N85">
            <v>19.100000000000001</v>
          </cell>
          <cell r="O85">
            <v>151.9</v>
          </cell>
          <cell r="P85">
            <v>140.69999999999999</v>
          </cell>
          <cell r="Q85">
            <v>11.2</v>
          </cell>
        </row>
        <row r="86">
          <cell r="C86" t="str">
            <v>運輸業，郵便業</v>
          </cell>
          <cell r="F86">
            <v>20.5</v>
          </cell>
          <cell r="G86">
            <v>184.8</v>
          </cell>
          <cell r="H86">
            <v>156.5</v>
          </cell>
          <cell r="I86">
            <v>28.3</v>
          </cell>
          <cell r="J86">
            <v>20.7</v>
          </cell>
          <cell r="K86">
            <v>190.2</v>
          </cell>
          <cell r="L86">
            <v>159</v>
          </cell>
          <cell r="M86">
            <v>31.2</v>
          </cell>
          <cell r="N86">
            <v>19</v>
          </cell>
          <cell r="O86">
            <v>143.30000000000001</v>
          </cell>
          <cell r="P86">
            <v>137.1</v>
          </cell>
          <cell r="Q86">
            <v>6.2</v>
          </cell>
        </row>
        <row r="87">
          <cell r="C87" t="str">
            <v>卸売業，小売業</v>
          </cell>
          <cell r="F87">
            <v>17.7</v>
          </cell>
          <cell r="G87">
            <v>131.69999999999999</v>
          </cell>
          <cell r="H87">
            <v>123.7</v>
          </cell>
          <cell r="I87">
            <v>8</v>
          </cell>
          <cell r="J87">
            <v>18.5</v>
          </cell>
          <cell r="K87">
            <v>152.19999999999999</v>
          </cell>
          <cell r="L87">
            <v>139.6</v>
          </cell>
          <cell r="M87">
            <v>12.6</v>
          </cell>
          <cell r="N87">
            <v>16.8</v>
          </cell>
          <cell r="O87">
            <v>110.4</v>
          </cell>
          <cell r="P87">
            <v>107.2</v>
          </cell>
          <cell r="Q87">
            <v>3.2</v>
          </cell>
        </row>
        <row r="88">
          <cell r="C88" t="str">
            <v>金融業，保険業</v>
          </cell>
          <cell r="F88">
            <v>18.899999999999999</v>
          </cell>
          <cell r="G88">
            <v>145.9</v>
          </cell>
          <cell r="H88">
            <v>139.5</v>
          </cell>
          <cell r="I88">
            <v>6.4</v>
          </cell>
          <cell r="J88">
            <v>19.8</v>
          </cell>
          <cell r="K88">
            <v>159.6</v>
          </cell>
          <cell r="L88">
            <v>150.69999999999999</v>
          </cell>
          <cell r="M88">
            <v>8.9</v>
          </cell>
          <cell r="N88">
            <v>18.2</v>
          </cell>
          <cell r="O88">
            <v>133.69999999999999</v>
          </cell>
          <cell r="P88">
            <v>129.6</v>
          </cell>
          <cell r="Q88">
            <v>4.0999999999999996</v>
          </cell>
        </row>
        <row r="89">
          <cell r="C89" t="str">
            <v>不動産業，物品賃貸業</v>
          </cell>
          <cell r="F89">
            <v>17.100000000000001</v>
          </cell>
          <cell r="G89">
            <v>120.9</v>
          </cell>
          <cell r="H89">
            <v>118.7</v>
          </cell>
          <cell r="I89">
            <v>2.2000000000000002</v>
          </cell>
          <cell r="J89">
            <v>17.399999999999999</v>
          </cell>
          <cell r="K89">
            <v>130.19999999999999</v>
          </cell>
          <cell r="L89">
            <v>126.9</v>
          </cell>
          <cell r="M89">
            <v>3.3</v>
          </cell>
          <cell r="N89">
            <v>16.8</v>
          </cell>
          <cell r="O89">
            <v>107.3</v>
          </cell>
          <cell r="P89">
            <v>106.7</v>
          </cell>
          <cell r="Q89">
            <v>0.6</v>
          </cell>
        </row>
        <row r="90">
          <cell r="C90" t="str">
            <v>学術研究，専門・技術サービス業</v>
          </cell>
          <cell r="F90">
            <v>19.899999999999999</v>
          </cell>
          <cell r="G90">
            <v>156.1</v>
          </cell>
          <cell r="H90">
            <v>147.80000000000001</v>
          </cell>
          <cell r="I90">
            <v>8.3000000000000007</v>
          </cell>
          <cell r="J90">
            <v>20</v>
          </cell>
          <cell r="K90">
            <v>164.6</v>
          </cell>
          <cell r="L90">
            <v>156</v>
          </cell>
          <cell r="M90">
            <v>8.6</v>
          </cell>
          <cell r="N90">
            <v>19.7</v>
          </cell>
          <cell r="O90">
            <v>142.1</v>
          </cell>
          <cell r="P90">
            <v>134.4</v>
          </cell>
          <cell r="Q90">
            <v>7.7</v>
          </cell>
        </row>
        <row r="91">
          <cell r="C91" t="str">
            <v>宿泊業，飲食サービス業</v>
          </cell>
          <cell r="F91">
            <v>14</v>
          </cell>
          <cell r="G91">
            <v>81.900000000000006</v>
          </cell>
          <cell r="H91">
            <v>78.400000000000006</v>
          </cell>
          <cell r="I91">
            <v>3.5</v>
          </cell>
          <cell r="J91">
            <v>16.3</v>
          </cell>
          <cell r="K91">
            <v>103</v>
          </cell>
          <cell r="L91">
            <v>95.6</v>
          </cell>
          <cell r="M91">
            <v>7.4</v>
          </cell>
          <cell r="N91">
            <v>12.7</v>
          </cell>
          <cell r="O91">
            <v>70.099999999999994</v>
          </cell>
          <cell r="P91">
            <v>68.8</v>
          </cell>
          <cell r="Q91">
            <v>1.3</v>
          </cell>
        </row>
        <row r="92">
          <cell r="C92" t="str">
            <v>生活関連サービス業，娯楽業</v>
          </cell>
          <cell r="F92">
            <v>16.899999999999999</v>
          </cell>
          <cell r="G92">
            <v>133.1</v>
          </cell>
          <cell r="H92">
            <v>123.3</v>
          </cell>
          <cell r="I92">
            <v>9.8000000000000007</v>
          </cell>
          <cell r="J92">
            <v>16.899999999999999</v>
          </cell>
          <cell r="K92">
            <v>135.30000000000001</v>
          </cell>
          <cell r="L92">
            <v>125.3</v>
          </cell>
          <cell r="M92">
            <v>10</v>
          </cell>
          <cell r="N92">
            <v>16.899999999999999</v>
          </cell>
          <cell r="O92">
            <v>129.9</v>
          </cell>
          <cell r="P92">
            <v>120.3</v>
          </cell>
          <cell r="Q92">
            <v>9.6</v>
          </cell>
        </row>
        <row r="93">
          <cell r="C93" t="str">
            <v>教育，学習支援業</v>
          </cell>
          <cell r="F93">
            <v>18.3</v>
          </cell>
          <cell r="G93">
            <v>154</v>
          </cell>
          <cell r="H93">
            <v>131.69999999999999</v>
          </cell>
          <cell r="I93">
            <v>22.3</v>
          </cell>
          <cell r="J93">
            <v>18.7</v>
          </cell>
          <cell r="K93">
            <v>168.2</v>
          </cell>
          <cell r="L93">
            <v>137.30000000000001</v>
          </cell>
          <cell r="M93">
            <v>30.9</v>
          </cell>
          <cell r="N93">
            <v>18</v>
          </cell>
          <cell r="O93">
            <v>143.1</v>
          </cell>
          <cell r="P93">
            <v>127.4</v>
          </cell>
          <cell r="Q93">
            <v>15.7</v>
          </cell>
        </row>
        <row r="94">
          <cell r="C94" t="str">
            <v>医療，福祉</v>
          </cell>
          <cell r="F94">
            <v>19</v>
          </cell>
          <cell r="G94">
            <v>138.5</v>
          </cell>
          <cell r="H94">
            <v>134.4</v>
          </cell>
          <cell r="I94">
            <v>4.0999999999999996</v>
          </cell>
          <cell r="J94">
            <v>19.600000000000001</v>
          </cell>
          <cell r="K94">
            <v>149.80000000000001</v>
          </cell>
          <cell r="L94">
            <v>146.1</v>
          </cell>
          <cell r="M94">
            <v>3.7</v>
          </cell>
          <cell r="N94">
            <v>18.8</v>
          </cell>
          <cell r="O94">
            <v>134.69999999999999</v>
          </cell>
          <cell r="P94">
            <v>130.5</v>
          </cell>
          <cell r="Q94">
            <v>4.2</v>
          </cell>
        </row>
        <row r="95">
          <cell r="C95" t="str">
            <v>複合サービス事業</v>
          </cell>
          <cell r="F95">
            <v>19.3</v>
          </cell>
          <cell r="G95">
            <v>152.6</v>
          </cell>
          <cell r="H95">
            <v>149</v>
          </cell>
          <cell r="I95">
            <v>3.6</v>
          </cell>
          <cell r="J95">
            <v>19.5</v>
          </cell>
          <cell r="K95">
            <v>157.1</v>
          </cell>
          <cell r="L95">
            <v>152.6</v>
          </cell>
          <cell r="M95">
            <v>4.5</v>
          </cell>
          <cell r="N95">
            <v>19</v>
          </cell>
          <cell r="O95">
            <v>144.6</v>
          </cell>
          <cell r="P95">
            <v>142.6</v>
          </cell>
          <cell r="Q95">
            <v>2</v>
          </cell>
        </row>
        <row r="96">
          <cell r="C96" t="str">
            <v>サービス業（他に分類されないもの）</v>
          </cell>
          <cell r="F96">
            <v>19</v>
          </cell>
          <cell r="G96">
            <v>145</v>
          </cell>
          <cell r="H96">
            <v>136.1</v>
          </cell>
          <cell r="I96">
            <v>8.9</v>
          </cell>
          <cell r="J96">
            <v>19.3</v>
          </cell>
          <cell r="K96">
            <v>157.4</v>
          </cell>
          <cell r="L96">
            <v>144.80000000000001</v>
          </cell>
          <cell r="M96">
            <v>12.6</v>
          </cell>
          <cell r="N96">
            <v>18.7</v>
          </cell>
          <cell r="O96">
            <v>129.9</v>
          </cell>
          <cell r="P96">
            <v>125.6</v>
          </cell>
          <cell r="Q96">
            <v>4.3</v>
          </cell>
        </row>
        <row r="97">
          <cell r="C97" t="str">
            <v>食料品・たばこ</v>
          </cell>
          <cell r="F97">
            <v>18.7</v>
          </cell>
          <cell r="G97">
            <v>144.19999999999999</v>
          </cell>
          <cell r="H97">
            <v>135.30000000000001</v>
          </cell>
          <cell r="I97">
            <v>8.9</v>
          </cell>
          <cell r="J97">
            <v>19.5</v>
          </cell>
          <cell r="K97">
            <v>160.6</v>
          </cell>
          <cell r="L97">
            <v>148.30000000000001</v>
          </cell>
          <cell r="M97">
            <v>12.3</v>
          </cell>
          <cell r="N97">
            <v>18.100000000000001</v>
          </cell>
          <cell r="O97">
            <v>133.5</v>
          </cell>
          <cell r="P97">
            <v>126.8</v>
          </cell>
          <cell r="Q97">
            <v>6.7</v>
          </cell>
        </row>
        <row r="98">
          <cell r="C98" t="str">
            <v>繊維工業</v>
          </cell>
          <cell r="F98">
            <v>20.2</v>
          </cell>
          <cell r="G98">
            <v>159.4</v>
          </cell>
          <cell r="H98">
            <v>148.69999999999999</v>
          </cell>
          <cell r="I98">
            <v>10.7</v>
          </cell>
          <cell r="J98">
            <v>19.399999999999999</v>
          </cell>
          <cell r="K98">
            <v>158.30000000000001</v>
          </cell>
          <cell r="L98">
            <v>144.30000000000001</v>
          </cell>
          <cell r="M98">
            <v>14</v>
          </cell>
          <cell r="N98">
            <v>20.6</v>
          </cell>
          <cell r="O98">
            <v>159.9</v>
          </cell>
          <cell r="P98">
            <v>151.1</v>
          </cell>
          <cell r="Q98">
            <v>8.8000000000000007</v>
          </cell>
        </row>
        <row r="99">
          <cell r="C99" t="str">
            <v>木材・木製品</v>
          </cell>
          <cell r="F99">
            <v>19</v>
          </cell>
          <cell r="G99">
            <v>152.9</v>
          </cell>
          <cell r="H99">
            <v>143.4</v>
          </cell>
          <cell r="I99">
            <v>9.5</v>
          </cell>
          <cell r="J99">
            <v>18.899999999999999</v>
          </cell>
          <cell r="K99">
            <v>157.30000000000001</v>
          </cell>
          <cell r="L99">
            <v>146.1</v>
          </cell>
          <cell r="M99">
            <v>11.2</v>
          </cell>
          <cell r="N99">
            <v>19.2</v>
          </cell>
          <cell r="O99">
            <v>140.69999999999999</v>
          </cell>
          <cell r="P99">
            <v>136</v>
          </cell>
          <cell r="Q99">
            <v>4.7</v>
          </cell>
        </row>
        <row r="100">
          <cell r="C100" t="str">
            <v>家具・装備品</v>
          </cell>
          <cell r="F100" t="str">
            <v>#20.4</v>
          </cell>
          <cell r="G100" t="str">
            <v>#153.4</v>
          </cell>
          <cell r="H100" t="str">
            <v>#153.4</v>
          </cell>
          <cell r="I100" t="str">
            <v>#0</v>
          </cell>
          <cell r="J100" t="str">
            <v>#20.9</v>
          </cell>
          <cell r="K100" t="str">
            <v>#161.9</v>
          </cell>
          <cell r="L100" t="str">
            <v>#161.9</v>
          </cell>
          <cell r="M100" t="str">
            <v>#0</v>
          </cell>
          <cell r="N100" t="str">
            <v>#19.3</v>
          </cell>
          <cell r="O100" t="str">
            <v>#133.7</v>
          </cell>
          <cell r="P100" t="str">
            <v>#133.7</v>
          </cell>
          <cell r="Q100" t="str">
            <v>#0</v>
          </cell>
        </row>
        <row r="101">
          <cell r="C101" t="str">
            <v>パルプ・紙</v>
          </cell>
          <cell r="F101">
            <v>20.399999999999999</v>
          </cell>
          <cell r="G101">
            <v>157.6</v>
          </cell>
          <cell r="H101">
            <v>149.80000000000001</v>
          </cell>
          <cell r="I101">
            <v>7.8</v>
          </cell>
          <cell r="J101">
            <v>20.399999999999999</v>
          </cell>
          <cell r="K101">
            <v>159.6</v>
          </cell>
          <cell r="L101">
            <v>150.1</v>
          </cell>
          <cell r="M101">
            <v>9.5</v>
          </cell>
          <cell r="N101">
            <v>20.2</v>
          </cell>
          <cell r="O101">
            <v>151.30000000000001</v>
          </cell>
          <cell r="P101">
            <v>149</v>
          </cell>
          <cell r="Q101">
            <v>2.2999999999999998</v>
          </cell>
        </row>
        <row r="102">
          <cell r="C102" t="str">
            <v>印刷・同関連業</v>
          </cell>
          <cell r="F102">
            <v>20.3</v>
          </cell>
          <cell r="G102">
            <v>153</v>
          </cell>
          <cell r="H102">
            <v>147.5</v>
          </cell>
          <cell r="I102">
            <v>5.5</v>
          </cell>
          <cell r="J102">
            <v>20.7</v>
          </cell>
          <cell r="K102">
            <v>159.30000000000001</v>
          </cell>
          <cell r="L102">
            <v>152.80000000000001</v>
          </cell>
          <cell r="M102">
            <v>6.5</v>
          </cell>
          <cell r="N102">
            <v>19.600000000000001</v>
          </cell>
          <cell r="O102">
            <v>138.80000000000001</v>
          </cell>
          <cell r="P102">
            <v>135.5</v>
          </cell>
          <cell r="Q102">
            <v>3.3</v>
          </cell>
        </row>
        <row r="103">
          <cell r="C103" t="str">
            <v>化学、石油・石炭</v>
          </cell>
          <cell r="F103">
            <v>19.899999999999999</v>
          </cell>
          <cell r="G103">
            <v>164.4</v>
          </cell>
          <cell r="H103">
            <v>148.80000000000001</v>
          </cell>
          <cell r="I103">
            <v>15.6</v>
          </cell>
          <cell r="J103">
            <v>19.8</v>
          </cell>
          <cell r="K103">
            <v>164</v>
          </cell>
          <cell r="L103">
            <v>147.5</v>
          </cell>
          <cell r="M103">
            <v>16.5</v>
          </cell>
          <cell r="N103">
            <v>21.5</v>
          </cell>
          <cell r="O103">
            <v>169.6</v>
          </cell>
          <cell r="P103">
            <v>162.9</v>
          </cell>
          <cell r="Q103">
            <v>6.7</v>
          </cell>
        </row>
        <row r="104">
          <cell r="C104" t="str">
            <v>プラスチック製品</v>
          </cell>
          <cell r="F104">
            <v>21.2</v>
          </cell>
          <cell r="G104">
            <v>162.69999999999999</v>
          </cell>
          <cell r="H104">
            <v>152.80000000000001</v>
          </cell>
          <cell r="I104">
            <v>9.9</v>
          </cell>
          <cell r="J104">
            <v>21.3</v>
          </cell>
          <cell r="K104">
            <v>172.8</v>
          </cell>
          <cell r="L104">
            <v>159.5</v>
          </cell>
          <cell r="M104">
            <v>13.3</v>
          </cell>
          <cell r="N104">
            <v>21</v>
          </cell>
          <cell r="O104">
            <v>137</v>
          </cell>
          <cell r="P104">
            <v>135.69999999999999</v>
          </cell>
          <cell r="Q104">
            <v>1.3</v>
          </cell>
        </row>
        <row r="105">
          <cell r="C105" t="str">
            <v>ゴム製品</v>
          </cell>
          <cell r="F105">
            <v>21.1</v>
          </cell>
          <cell r="G105">
            <v>178.8</v>
          </cell>
          <cell r="H105">
            <v>155.4</v>
          </cell>
          <cell r="I105">
            <v>23.4</v>
          </cell>
          <cell r="J105">
            <v>21.3</v>
          </cell>
          <cell r="K105">
            <v>180.9</v>
          </cell>
          <cell r="L105">
            <v>155.4</v>
          </cell>
          <cell r="M105">
            <v>25.5</v>
          </cell>
          <cell r="N105">
            <v>20.3</v>
          </cell>
          <cell r="O105">
            <v>165</v>
          </cell>
          <cell r="P105">
            <v>155.6</v>
          </cell>
          <cell r="Q105">
            <v>9.4</v>
          </cell>
        </row>
        <row r="106">
          <cell r="C106" t="str">
            <v>窯業・土石製品</v>
          </cell>
          <cell r="F106">
            <v>20.6</v>
          </cell>
          <cell r="G106">
            <v>174.9</v>
          </cell>
          <cell r="H106">
            <v>162.30000000000001</v>
          </cell>
          <cell r="I106">
            <v>12.6</v>
          </cell>
          <cell r="J106">
            <v>20.7</v>
          </cell>
          <cell r="K106">
            <v>177.5</v>
          </cell>
          <cell r="L106">
            <v>163.30000000000001</v>
          </cell>
          <cell r="M106">
            <v>14.2</v>
          </cell>
          <cell r="N106">
            <v>20.399999999999999</v>
          </cell>
          <cell r="O106">
            <v>165.7</v>
          </cell>
          <cell r="P106">
            <v>158.9</v>
          </cell>
          <cell r="Q106">
            <v>6.8</v>
          </cell>
        </row>
        <row r="107">
          <cell r="C107" t="str">
            <v>鉄鋼業</v>
          </cell>
          <cell r="F107" t="str">
            <v>#20.2</v>
          </cell>
          <cell r="G107" t="str">
            <v>#184.8</v>
          </cell>
          <cell r="H107" t="str">
            <v>#158.7</v>
          </cell>
          <cell r="I107" t="str">
            <v>#26.1</v>
          </cell>
          <cell r="J107" t="str">
            <v>#20.2</v>
          </cell>
          <cell r="K107" t="str">
            <v>#185.4</v>
          </cell>
          <cell r="L107" t="str">
            <v>#158.8</v>
          </cell>
          <cell r="M107" t="str">
            <v>#26.6</v>
          </cell>
          <cell r="N107" t="str">
            <v>#19.8</v>
          </cell>
          <cell r="O107" t="str">
            <v>#175.6</v>
          </cell>
          <cell r="P107" t="str">
            <v>#156.9</v>
          </cell>
          <cell r="Q107" t="str">
            <v>#18.7</v>
          </cell>
        </row>
        <row r="108">
          <cell r="C108" t="str">
            <v>非鉄金属製造業</v>
          </cell>
          <cell r="F108" t="str">
            <v>#19.8</v>
          </cell>
          <cell r="G108" t="str">
            <v>#158.8</v>
          </cell>
          <cell r="H108" t="str">
            <v>#155.9</v>
          </cell>
          <cell r="I108" t="str">
            <v>#2.9</v>
          </cell>
          <cell r="J108" t="str">
            <v>#19.8</v>
          </cell>
          <cell r="K108" t="str">
            <v>#163.7</v>
          </cell>
          <cell r="L108" t="str">
            <v>#158.8</v>
          </cell>
          <cell r="M108" t="str">
            <v>#4.9</v>
          </cell>
          <cell r="N108" t="str">
            <v>#19.7</v>
          </cell>
          <cell r="O108" t="str">
            <v>#153.8</v>
          </cell>
          <cell r="P108" t="str">
            <v>#153</v>
          </cell>
          <cell r="Q108" t="str">
            <v>#0.8</v>
          </cell>
        </row>
        <row r="109">
          <cell r="C109" t="str">
            <v>金属製品製造業</v>
          </cell>
          <cell r="F109">
            <v>21.4</v>
          </cell>
          <cell r="G109">
            <v>169.9</v>
          </cell>
          <cell r="H109">
            <v>159.19999999999999</v>
          </cell>
          <cell r="I109">
            <v>10.7</v>
          </cell>
          <cell r="J109">
            <v>21.2</v>
          </cell>
          <cell r="K109">
            <v>177.7</v>
          </cell>
          <cell r="L109">
            <v>163.30000000000001</v>
          </cell>
          <cell r="M109">
            <v>14.4</v>
          </cell>
          <cell r="N109">
            <v>21.8</v>
          </cell>
          <cell r="O109">
            <v>157</v>
          </cell>
          <cell r="P109">
            <v>152.4</v>
          </cell>
          <cell r="Q109">
            <v>4.5999999999999996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19.600000000000001</v>
          </cell>
          <cell r="G112">
            <v>161.69999999999999</v>
          </cell>
          <cell r="H112">
            <v>152.30000000000001</v>
          </cell>
          <cell r="I112">
            <v>9.4</v>
          </cell>
          <cell r="J112">
            <v>20.100000000000001</v>
          </cell>
          <cell r="K112">
            <v>166.3</v>
          </cell>
          <cell r="L112">
            <v>154.80000000000001</v>
          </cell>
          <cell r="M112">
            <v>11.5</v>
          </cell>
          <cell r="N112">
            <v>19.100000000000001</v>
          </cell>
          <cell r="O112">
            <v>157.30000000000001</v>
          </cell>
          <cell r="P112">
            <v>149.9</v>
          </cell>
          <cell r="Q112">
            <v>7.4</v>
          </cell>
        </row>
        <row r="113">
          <cell r="C113" t="str">
            <v>電子・デバイス</v>
          </cell>
          <cell r="F113">
            <v>18.3</v>
          </cell>
          <cell r="G113">
            <v>154.69999999999999</v>
          </cell>
          <cell r="H113">
            <v>142.1</v>
          </cell>
          <cell r="I113">
            <v>12.6</v>
          </cell>
          <cell r="J113">
            <v>18.2</v>
          </cell>
          <cell r="K113">
            <v>160.19999999999999</v>
          </cell>
          <cell r="L113">
            <v>144.4</v>
          </cell>
          <cell r="M113">
            <v>15.8</v>
          </cell>
          <cell r="N113">
            <v>18.399999999999999</v>
          </cell>
          <cell r="O113">
            <v>144.1</v>
          </cell>
          <cell r="P113">
            <v>137.6</v>
          </cell>
          <cell r="Q113">
            <v>6.5</v>
          </cell>
        </row>
        <row r="114">
          <cell r="C114" t="str">
            <v>電気機械器具</v>
          </cell>
          <cell r="F114">
            <v>20</v>
          </cell>
          <cell r="G114">
            <v>164</v>
          </cell>
          <cell r="H114">
            <v>155.4</v>
          </cell>
          <cell r="I114">
            <v>8.6</v>
          </cell>
          <cell r="J114">
            <v>20.399999999999999</v>
          </cell>
          <cell r="K114">
            <v>169.3</v>
          </cell>
          <cell r="L114">
            <v>158</v>
          </cell>
          <cell r="M114">
            <v>11.3</v>
          </cell>
          <cell r="N114">
            <v>19.100000000000001</v>
          </cell>
          <cell r="O114">
            <v>150.69999999999999</v>
          </cell>
          <cell r="P114">
            <v>148.9</v>
          </cell>
          <cell r="Q114">
            <v>1.8</v>
          </cell>
        </row>
        <row r="115">
          <cell r="C115" t="str">
            <v>情報通信機械器具</v>
          </cell>
          <cell r="F115" t="str">
            <v>#19</v>
          </cell>
          <cell r="G115" t="str">
            <v>#158.5</v>
          </cell>
          <cell r="H115" t="str">
            <v>#149.8</v>
          </cell>
          <cell r="I115" t="str">
            <v>#8.7</v>
          </cell>
          <cell r="J115" t="str">
            <v>#20.1</v>
          </cell>
          <cell r="K115" t="str">
            <v>#165.2</v>
          </cell>
          <cell r="L115" t="str">
            <v>#156.4</v>
          </cell>
          <cell r="M115" t="str">
            <v>#8.8</v>
          </cell>
          <cell r="N115" t="str">
            <v>#17.9</v>
          </cell>
          <cell r="O115" t="str">
            <v>#151.1</v>
          </cell>
          <cell r="P115" t="str">
            <v>#142.5</v>
          </cell>
          <cell r="Q115" t="str">
            <v>#8.6</v>
          </cell>
        </row>
        <row r="116">
          <cell r="C116" t="str">
            <v>輸送用機械器具</v>
          </cell>
          <cell r="F116">
            <v>20.100000000000001</v>
          </cell>
          <cell r="G116">
            <v>187.9</v>
          </cell>
          <cell r="H116">
            <v>160.69999999999999</v>
          </cell>
          <cell r="I116">
            <v>27.2</v>
          </cell>
          <cell r="J116">
            <v>20.2</v>
          </cell>
          <cell r="K116">
            <v>192.7</v>
          </cell>
          <cell r="L116">
            <v>163.1</v>
          </cell>
          <cell r="M116">
            <v>29.6</v>
          </cell>
          <cell r="N116">
            <v>20</v>
          </cell>
          <cell r="O116">
            <v>170.4</v>
          </cell>
          <cell r="P116">
            <v>151.9</v>
          </cell>
          <cell r="Q116">
            <v>18.5</v>
          </cell>
        </row>
        <row r="117">
          <cell r="C117" t="str">
            <v>その他の製造業</v>
          </cell>
          <cell r="F117">
            <v>20.3</v>
          </cell>
          <cell r="G117">
            <v>174.4</v>
          </cell>
          <cell r="H117">
            <v>147.30000000000001</v>
          </cell>
          <cell r="I117">
            <v>27.1</v>
          </cell>
          <cell r="J117">
            <v>20.8</v>
          </cell>
          <cell r="K117">
            <v>185.4</v>
          </cell>
          <cell r="L117">
            <v>151.1</v>
          </cell>
          <cell r="M117">
            <v>34.299999999999997</v>
          </cell>
          <cell r="N117">
            <v>18.5</v>
          </cell>
          <cell r="O117">
            <v>134.69999999999999</v>
          </cell>
          <cell r="P117">
            <v>133.5</v>
          </cell>
          <cell r="Q117">
            <v>1.2</v>
          </cell>
        </row>
        <row r="118">
          <cell r="C118" t="str">
            <v>Ｅ一括分１</v>
          </cell>
          <cell r="F118">
            <v>21</v>
          </cell>
          <cell r="G118">
            <v>183.2</v>
          </cell>
          <cell r="H118">
            <v>160.69999999999999</v>
          </cell>
          <cell r="I118">
            <v>22.5</v>
          </cell>
          <cell r="J118">
            <v>21.7</v>
          </cell>
          <cell r="K118">
            <v>194.7</v>
          </cell>
          <cell r="L118">
            <v>163.69999999999999</v>
          </cell>
          <cell r="M118">
            <v>31</v>
          </cell>
          <cell r="N118">
            <v>19.399999999999999</v>
          </cell>
          <cell r="O118">
            <v>157.6</v>
          </cell>
          <cell r="P118">
            <v>154</v>
          </cell>
          <cell r="Q118">
            <v>3.6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19.8</v>
          </cell>
          <cell r="G121">
            <v>168.5</v>
          </cell>
          <cell r="H121">
            <v>156.4</v>
          </cell>
          <cell r="I121">
            <v>12.1</v>
          </cell>
          <cell r="J121">
            <v>20.399999999999999</v>
          </cell>
          <cell r="K121">
            <v>178.4</v>
          </cell>
          <cell r="L121">
            <v>163.6</v>
          </cell>
          <cell r="M121">
            <v>14.8</v>
          </cell>
          <cell r="N121">
            <v>17.8</v>
          </cell>
          <cell r="O121">
            <v>137.9</v>
          </cell>
          <cell r="P121">
            <v>134.1</v>
          </cell>
          <cell r="Q121">
            <v>3.8</v>
          </cell>
        </row>
        <row r="122">
          <cell r="C122" t="str">
            <v>小売業</v>
          </cell>
          <cell r="F122">
            <v>17</v>
          </cell>
          <cell r="G122">
            <v>119.6</v>
          </cell>
          <cell r="H122">
            <v>113</v>
          </cell>
          <cell r="I122">
            <v>6.6</v>
          </cell>
          <cell r="J122">
            <v>17.399999999999999</v>
          </cell>
          <cell r="K122">
            <v>137</v>
          </cell>
          <cell r="L122">
            <v>125.7</v>
          </cell>
          <cell r="M122">
            <v>11.3</v>
          </cell>
          <cell r="N122">
            <v>16.7</v>
          </cell>
          <cell r="O122">
            <v>106.6</v>
          </cell>
          <cell r="P122">
            <v>103.5</v>
          </cell>
          <cell r="Q122">
            <v>3.1</v>
          </cell>
        </row>
        <row r="123">
          <cell r="C123" t="str">
            <v>宿泊業</v>
          </cell>
          <cell r="F123">
            <v>18</v>
          </cell>
          <cell r="G123">
            <v>126.8</v>
          </cell>
          <cell r="H123">
            <v>118.2</v>
          </cell>
          <cell r="I123">
            <v>8.6</v>
          </cell>
          <cell r="J123">
            <v>18.5</v>
          </cell>
          <cell r="K123">
            <v>146.5</v>
          </cell>
          <cell r="L123">
            <v>132.69999999999999</v>
          </cell>
          <cell r="M123">
            <v>13.8</v>
          </cell>
          <cell r="N123">
            <v>17.7</v>
          </cell>
          <cell r="O123">
            <v>113.4</v>
          </cell>
          <cell r="P123">
            <v>108.3</v>
          </cell>
          <cell r="Q123">
            <v>5.0999999999999996</v>
          </cell>
        </row>
        <row r="124">
          <cell r="C124" t="str">
            <v>Ｍ一括分</v>
          </cell>
          <cell r="F124">
            <v>13.1</v>
          </cell>
          <cell r="G124">
            <v>72.2</v>
          </cell>
          <cell r="H124">
            <v>69.8</v>
          </cell>
          <cell r="I124">
            <v>2.4</v>
          </cell>
          <cell r="J124">
            <v>15.7</v>
          </cell>
          <cell r="K124">
            <v>92</v>
          </cell>
          <cell r="L124">
            <v>86.2</v>
          </cell>
          <cell r="M124">
            <v>5.8</v>
          </cell>
          <cell r="N124">
            <v>11.7</v>
          </cell>
          <cell r="O124">
            <v>61.6</v>
          </cell>
          <cell r="P124">
            <v>61</v>
          </cell>
          <cell r="Q124">
            <v>0.6</v>
          </cell>
        </row>
        <row r="125">
          <cell r="C125" t="str">
            <v>医療業</v>
          </cell>
          <cell r="F125">
            <v>19.5</v>
          </cell>
          <cell r="G125">
            <v>144.80000000000001</v>
          </cell>
          <cell r="H125">
            <v>140.1</v>
          </cell>
          <cell r="I125">
            <v>4.7</v>
          </cell>
          <cell r="J125">
            <v>20.100000000000001</v>
          </cell>
          <cell r="K125">
            <v>153.9</v>
          </cell>
          <cell r="L125">
            <v>149.1</v>
          </cell>
          <cell r="M125">
            <v>4.8</v>
          </cell>
          <cell r="N125">
            <v>19.3</v>
          </cell>
          <cell r="O125">
            <v>142.30000000000001</v>
          </cell>
          <cell r="P125">
            <v>137.6</v>
          </cell>
          <cell r="Q125">
            <v>4.7</v>
          </cell>
        </row>
        <row r="126">
          <cell r="C126" t="str">
            <v>Ｐ一括分</v>
          </cell>
          <cell r="F126">
            <v>18.600000000000001</v>
          </cell>
          <cell r="G126">
            <v>133</v>
          </cell>
          <cell r="H126">
            <v>129.5</v>
          </cell>
          <cell r="I126">
            <v>3.5</v>
          </cell>
          <cell r="J126">
            <v>19.3</v>
          </cell>
          <cell r="K126">
            <v>147</v>
          </cell>
          <cell r="L126">
            <v>144</v>
          </cell>
          <cell r="M126">
            <v>3</v>
          </cell>
          <cell r="N126">
            <v>18.3</v>
          </cell>
          <cell r="O126">
            <v>127.7</v>
          </cell>
          <cell r="P126">
            <v>124</v>
          </cell>
          <cell r="Q126">
            <v>3.7</v>
          </cell>
        </row>
        <row r="127">
          <cell r="C127" t="str">
            <v>職業紹介・派遣業</v>
          </cell>
          <cell r="F127">
            <v>19</v>
          </cell>
          <cell r="G127">
            <v>152.4</v>
          </cell>
          <cell r="H127">
            <v>144</v>
          </cell>
          <cell r="I127">
            <v>8.4</v>
          </cell>
          <cell r="J127">
            <v>19.100000000000001</v>
          </cell>
          <cell r="K127">
            <v>163.9</v>
          </cell>
          <cell r="L127">
            <v>150.4</v>
          </cell>
          <cell r="M127">
            <v>13.5</v>
          </cell>
          <cell r="N127">
            <v>19</v>
          </cell>
          <cell r="O127">
            <v>144.1</v>
          </cell>
          <cell r="P127">
            <v>139.4</v>
          </cell>
          <cell r="Q127">
            <v>4.7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19</v>
          </cell>
          <cell r="G129">
            <v>143.6</v>
          </cell>
          <cell r="H129">
            <v>134.69999999999999</v>
          </cell>
          <cell r="I129">
            <v>8.9</v>
          </cell>
          <cell r="J129">
            <v>19.3</v>
          </cell>
          <cell r="K129">
            <v>156.5</v>
          </cell>
          <cell r="L129">
            <v>144</v>
          </cell>
          <cell r="M129">
            <v>12.5</v>
          </cell>
          <cell r="N129">
            <v>18.600000000000001</v>
          </cell>
          <cell r="O129">
            <v>126.4</v>
          </cell>
          <cell r="P129">
            <v>122.2</v>
          </cell>
          <cell r="Q129">
            <v>4.2</v>
          </cell>
        </row>
        <row r="130">
          <cell r="C130" t="str">
            <v>特掲産業１</v>
          </cell>
          <cell r="F130">
            <v>16.7</v>
          </cell>
          <cell r="G130">
            <v>130.1</v>
          </cell>
          <cell r="H130">
            <v>122.1</v>
          </cell>
          <cell r="I130">
            <v>8</v>
          </cell>
          <cell r="J130">
            <v>17</v>
          </cell>
          <cell r="K130">
            <v>131.1</v>
          </cell>
          <cell r="L130">
            <v>124.5</v>
          </cell>
          <cell r="M130">
            <v>6.6</v>
          </cell>
          <cell r="N130">
            <v>15.8</v>
          </cell>
          <cell r="O130">
            <v>127</v>
          </cell>
          <cell r="P130">
            <v>115.2</v>
          </cell>
          <cell r="Q130">
            <v>11.8</v>
          </cell>
        </row>
        <row r="131">
          <cell r="C131" t="str">
            <v>特掲産業２</v>
          </cell>
          <cell r="F131">
            <v>21.2</v>
          </cell>
          <cell r="G131">
            <v>172.5</v>
          </cell>
          <cell r="H131">
            <v>158.69999999999999</v>
          </cell>
          <cell r="I131">
            <v>13.8</v>
          </cell>
          <cell r="J131">
            <v>21.5</v>
          </cell>
          <cell r="K131">
            <v>177.9</v>
          </cell>
          <cell r="L131">
            <v>161.6</v>
          </cell>
          <cell r="M131">
            <v>16.3</v>
          </cell>
          <cell r="N131">
            <v>20.399999999999999</v>
          </cell>
          <cell r="O131">
            <v>155.6</v>
          </cell>
          <cell r="P131">
            <v>149.69999999999999</v>
          </cell>
          <cell r="Q131">
            <v>5.9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1.9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>
        <row r="9">
          <cell r="E9">
            <v>224008</v>
          </cell>
        </row>
      </sheetData>
      <sheetData sheetId="17">
        <row r="9">
          <cell r="E9">
            <v>17.5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>
        <row r="9">
          <cell r="E9">
            <v>224205</v>
          </cell>
        </row>
      </sheetData>
      <sheetData sheetId="17">
        <row r="9">
          <cell r="E9">
            <v>18.5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11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8974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18.899999999999999</v>
          </cell>
          <cell r="G10">
            <v>147.4</v>
          </cell>
          <cell r="H10">
            <v>136.69999999999999</v>
          </cell>
          <cell r="I10">
            <v>10.7</v>
          </cell>
          <cell r="J10">
            <v>19.399999999999999</v>
          </cell>
          <cell r="K10">
            <v>161</v>
          </cell>
          <cell r="L10">
            <v>145.80000000000001</v>
          </cell>
          <cell r="M10">
            <v>15.2</v>
          </cell>
          <cell r="N10">
            <v>18.399999999999999</v>
          </cell>
          <cell r="O10">
            <v>134</v>
          </cell>
          <cell r="P10">
            <v>127.7</v>
          </cell>
          <cell r="Q10">
            <v>6.3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20.7</v>
          </cell>
          <cell r="G12">
            <v>166.1</v>
          </cell>
          <cell r="H12">
            <v>155.19999999999999</v>
          </cell>
          <cell r="I12">
            <v>10.9</v>
          </cell>
          <cell r="J12">
            <v>20.8</v>
          </cell>
          <cell r="K12">
            <v>169.7</v>
          </cell>
          <cell r="L12">
            <v>157.19999999999999</v>
          </cell>
          <cell r="M12">
            <v>12.5</v>
          </cell>
          <cell r="N12">
            <v>20.5</v>
          </cell>
          <cell r="O12">
            <v>152.30000000000001</v>
          </cell>
          <cell r="P12">
            <v>147.4</v>
          </cell>
          <cell r="Q12">
            <v>4.9000000000000004</v>
          </cell>
        </row>
        <row r="13">
          <cell r="C13" t="str">
            <v>製造業</v>
          </cell>
          <cell r="F13">
            <v>19.8</v>
          </cell>
          <cell r="G13">
            <v>163.5</v>
          </cell>
          <cell r="H13">
            <v>149.80000000000001</v>
          </cell>
          <cell r="I13">
            <v>13.7</v>
          </cell>
          <cell r="J13">
            <v>20.100000000000001</v>
          </cell>
          <cell r="K13">
            <v>170.4</v>
          </cell>
          <cell r="L13">
            <v>153.30000000000001</v>
          </cell>
          <cell r="M13">
            <v>17.100000000000001</v>
          </cell>
          <cell r="N13">
            <v>19.5</v>
          </cell>
          <cell r="O13">
            <v>152.1</v>
          </cell>
          <cell r="P13">
            <v>143.9</v>
          </cell>
          <cell r="Q13">
            <v>8.1999999999999993</v>
          </cell>
        </row>
        <row r="14">
          <cell r="C14" t="str">
            <v>電気・ガス・熱供給・水道業</v>
          </cell>
          <cell r="F14">
            <v>18.399999999999999</v>
          </cell>
          <cell r="G14">
            <v>155.19999999999999</v>
          </cell>
          <cell r="H14">
            <v>139.9</v>
          </cell>
          <cell r="I14">
            <v>15.3</v>
          </cell>
          <cell r="J14">
            <v>18.5</v>
          </cell>
          <cell r="K14">
            <v>159.69999999999999</v>
          </cell>
          <cell r="L14">
            <v>142.6</v>
          </cell>
          <cell r="M14">
            <v>17.100000000000001</v>
          </cell>
          <cell r="N14">
            <v>17.600000000000001</v>
          </cell>
          <cell r="O14">
            <v>125.6</v>
          </cell>
          <cell r="P14">
            <v>121.9</v>
          </cell>
          <cell r="Q14">
            <v>3.7</v>
          </cell>
        </row>
        <row r="15">
          <cell r="C15" t="str">
            <v>情報通信業</v>
          </cell>
          <cell r="F15">
            <v>19.2</v>
          </cell>
          <cell r="G15">
            <v>157.5</v>
          </cell>
          <cell r="H15">
            <v>142.1</v>
          </cell>
          <cell r="I15">
            <v>15.4</v>
          </cell>
          <cell r="J15">
            <v>19.399999999999999</v>
          </cell>
          <cell r="K15">
            <v>160</v>
          </cell>
          <cell r="L15">
            <v>144.4</v>
          </cell>
          <cell r="M15">
            <v>15.6</v>
          </cell>
          <cell r="N15">
            <v>18.8</v>
          </cell>
          <cell r="O15">
            <v>151.9</v>
          </cell>
          <cell r="P15">
            <v>137</v>
          </cell>
          <cell r="Q15">
            <v>14.9</v>
          </cell>
        </row>
        <row r="16">
          <cell r="C16" t="str">
            <v>運輸業，郵便業</v>
          </cell>
          <cell r="F16">
            <v>20.9</v>
          </cell>
          <cell r="G16">
            <v>177.4</v>
          </cell>
          <cell r="H16">
            <v>152.69999999999999</v>
          </cell>
          <cell r="I16">
            <v>24.7</v>
          </cell>
          <cell r="J16">
            <v>21</v>
          </cell>
          <cell r="K16">
            <v>181.7</v>
          </cell>
          <cell r="L16">
            <v>154.69999999999999</v>
          </cell>
          <cell r="M16">
            <v>27</v>
          </cell>
          <cell r="N16">
            <v>20.3</v>
          </cell>
          <cell r="O16">
            <v>141.4</v>
          </cell>
          <cell r="P16">
            <v>135.9</v>
          </cell>
          <cell r="Q16">
            <v>5.5</v>
          </cell>
        </row>
        <row r="17">
          <cell r="C17" t="str">
            <v>卸売業，小売業</v>
          </cell>
          <cell r="F17">
            <v>18.399999999999999</v>
          </cell>
          <cell r="G17">
            <v>128</v>
          </cell>
          <cell r="H17">
            <v>121</v>
          </cell>
          <cell r="I17">
            <v>7</v>
          </cell>
          <cell r="J17">
            <v>19.600000000000001</v>
          </cell>
          <cell r="K17">
            <v>153.80000000000001</v>
          </cell>
          <cell r="L17">
            <v>141.9</v>
          </cell>
          <cell r="M17">
            <v>11.9</v>
          </cell>
          <cell r="N17">
            <v>17.600000000000001</v>
          </cell>
          <cell r="O17">
            <v>110.6</v>
          </cell>
          <cell r="P17">
            <v>106.9</v>
          </cell>
          <cell r="Q17">
            <v>3.7</v>
          </cell>
        </row>
        <row r="18">
          <cell r="C18" t="str">
            <v>金融業，保険業</v>
          </cell>
          <cell r="F18">
            <v>18.8</v>
          </cell>
          <cell r="G18">
            <v>134.9</v>
          </cell>
          <cell r="H18">
            <v>130.4</v>
          </cell>
          <cell r="I18">
            <v>4.5</v>
          </cell>
          <cell r="J18">
            <v>18.8</v>
          </cell>
          <cell r="K18">
            <v>136.80000000000001</v>
          </cell>
          <cell r="L18">
            <v>133.9</v>
          </cell>
          <cell r="M18">
            <v>2.9</v>
          </cell>
          <cell r="N18">
            <v>18.8</v>
          </cell>
          <cell r="O18">
            <v>133.4</v>
          </cell>
          <cell r="P18">
            <v>127.6</v>
          </cell>
          <cell r="Q18">
            <v>5.8</v>
          </cell>
        </row>
        <row r="19">
          <cell r="C19" t="str">
            <v>不動産業，物品賃貸業</v>
          </cell>
          <cell r="F19">
            <v>19.8</v>
          </cell>
          <cell r="G19">
            <v>150.19999999999999</v>
          </cell>
          <cell r="H19">
            <v>146.4</v>
          </cell>
          <cell r="I19">
            <v>3.8</v>
          </cell>
          <cell r="J19">
            <v>20.399999999999999</v>
          </cell>
          <cell r="K19">
            <v>163.4</v>
          </cell>
          <cell r="L19">
            <v>158.19999999999999</v>
          </cell>
          <cell r="M19">
            <v>5.2</v>
          </cell>
          <cell r="N19">
            <v>18.8</v>
          </cell>
          <cell r="O19">
            <v>127.5</v>
          </cell>
          <cell r="P19">
            <v>126.2</v>
          </cell>
          <cell r="Q19">
            <v>1.3</v>
          </cell>
        </row>
        <row r="20">
          <cell r="C20" t="str">
            <v>学術研究，専門・技術サービス業</v>
          </cell>
          <cell r="F20">
            <v>18.600000000000001</v>
          </cell>
          <cell r="G20">
            <v>156.4</v>
          </cell>
          <cell r="H20">
            <v>142</v>
          </cell>
          <cell r="I20">
            <v>14.4</v>
          </cell>
          <cell r="J20">
            <v>18.399999999999999</v>
          </cell>
          <cell r="K20">
            <v>156.19999999999999</v>
          </cell>
          <cell r="L20">
            <v>140.80000000000001</v>
          </cell>
          <cell r="M20">
            <v>15.4</v>
          </cell>
          <cell r="N20">
            <v>19.3</v>
          </cell>
          <cell r="O20">
            <v>157</v>
          </cell>
          <cell r="P20">
            <v>146.5</v>
          </cell>
          <cell r="Q20">
            <v>10.5</v>
          </cell>
        </row>
        <row r="21">
          <cell r="C21" t="str">
            <v>宿泊業，飲食サービス業</v>
          </cell>
          <cell r="F21">
            <v>15.2</v>
          </cell>
          <cell r="G21">
            <v>94.9</v>
          </cell>
          <cell r="H21">
            <v>89.6</v>
          </cell>
          <cell r="I21">
            <v>5.3</v>
          </cell>
          <cell r="J21">
            <v>16</v>
          </cell>
          <cell r="K21">
            <v>107.9</v>
          </cell>
          <cell r="L21">
            <v>99.8</v>
          </cell>
          <cell r="M21">
            <v>8.1</v>
          </cell>
          <cell r="N21">
            <v>14.7</v>
          </cell>
          <cell r="O21">
            <v>87</v>
          </cell>
          <cell r="P21">
            <v>83.4</v>
          </cell>
          <cell r="Q21">
            <v>3.6</v>
          </cell>
        </row>
        <row r="22">
          <cell r="C22" t="str">
            <v>生活関連サービス業，娯楽業</v>
          </cell>
          <cell r="F22">
            <v>16.600000000000001</v>
          </cell>
          <cell r="G22">
            <v>142.1</v>
          </cell>
          <cell r="H22">
            <v>132.4</v>
          </cell>
          <cell r="I22">
            <v>9.6999999999999993</v>
          </cell>
          <cell r="J22">
            <v>16.7</v>
          </cell>
          <cell r="K22">
            <v>146.80000000000001</v>
          </cell>
          <cell r="L22">
            <v>135.5</v>
          </cell>
          <cell r="M22">
            <v>11.3</v>
          </cell>
          <cell r="N22">
            <v>16.5</v>
          </cell>
          <cell r="O22">
            <v>134.30000000000001</v>
          </cell>
          <cell r="P22">
            <v>127.3</v>
          </cell>
          <cell r="Q22">
            <v>7</v>
          </cell>
        </row>
        <row r="23">
          <cell r="C23" t="str">
            <v>教育，学習支援業</v>
          </cell>
          <cell r="F23">
            <v>18</v>
          </cell>
          <cell r="G23">
            <v>157.6</v>
          </cell>
          <cell r="H23">
            <v>132.1</v>
          </cell>
          <cell r="I23">
            <v>25.5</v>
          </cell>
          <cell r="J23">
            <v>18.2</v>
          </cell>
          <cell r="K23">
            <v>166.2</v>
          </cell>
          <cell r="L23">
            <v>136.1</v>
          </cell>
          <cell r="M23">
            <v>30.1</v>
          </cell>
          <cell r="N23">
            <v>17.899999999999999</v>
          </cell>
          <cell r="O23">
            <v>149.30000000000001</v>
          </cell>
          <cell r="P23">
            <v>128.30000000000001</v>
          </cell>
          <cell r="Q23">
            <v>21</v>
          </cell>
        </row>
        <row r="24">
          <cell r="C24" t="str">
            <v>医療，福祉</v>
          </cell>
          <cell r="F24">
            <v>18.8</v>
          </cell>
          <cell r="G24">
            <v>141.9</v>
          </cell>
          <cell r="H24">
            <v>138</v>
          </cell>
          <cell r="I24">
            <v>3.9</v>
          </cell>
          <cell r="J24">
            <v>19</v>
          </cell>
          <cell r="K24">
            <v>149.80000000000001</v>
          </cell>
          <cell r="L24">
            <v>145</v>
          </cell>
          <cell r="M24">
            <v>4.8</v>
          </cell>
          <cell r="N24">
            <v>18.8</v>
          </cell>
          <cell r="O24">
            <v>139</v>
          </cell>
          <cell r="P24">
            <v>135.4</v>
          </cell>
          <cell r="Q24">
            <v>3.6</v>
          </cell>
        </row>
        <row r="25">
          <cell r="C25" t="str">
            <v>複合サービス事業</v>
          </cell>
          <cell r="F25">
            <v>20</v>
          </cell>
          <cell r="G25">
            <v>157.30000000000001</v>
          </cell>
          <cell r="H25">
            <v>153.69999999999999</v>
          </cell>
          <cell r="I25">
            <v>3.6</v>
          </cell>
          <cell r="J25">
            <v>20.3</v>
          </cell>
          <cell r="K25">
            <v>163.19999999999999</v>
          </cell>
          <cell r="L25">
            <v>158.80000000000001</v>
          </cell>
          <cell r="M25">
            <v>4.4000000000000004</v>
          </cell>
          <cell r="N25">
            <v>19.600000000000001</v>
          </cell>
          <cell r="O25">
            <v>148.1</v>
          </cell>
          <cell r="P25">
            <v>145.69999999999999</v>
          </cell>
          <cell r="Q25">
            <v>2.4</v>
          </cell>
        </row>
        <row r="26">
          <cell r="C26" t="str">
            <v>サービス業（他に分類されないもの）</v>
          </cell>
          <cell r="F26">
            <v>18.600000000000001</v>
          </cell>
          <cell r="G26">
            <v>139.6</v>
          </cell>
          <cell r="H26">
            <v>131</v>
          </cell>
          <cell r="I26">
            <v>8.6</v>
          </cell>
          <cell r="J26">
            <v>19.100000000000001</v>
          </cell>
          <cell r="K26">
            <v>154.4</v>
          </cell>
          <cell r="L26">
            <v>142.19999999999999</v>
          </cell>
          <cell r="M26">
            <v>12.2</v>
          </cell>
          <cell r="N26">
            <v>18</v>
          </cell>
          <cell r="O26">
            <v>123.3</v>
          </cell>
          <cell r="P26">
            <v>118.6</v>
          </cell>
          <cell r="Q26">
            <v>4.7</v>
          </cell>
        </row>
        <row r="27">
          <cell r="C27" t="str">
            <v>食料品・たばこ</v>
          </cell>
          <cell r="F27">
            <v>20</v>
          </cell>
          <cell r="G27">
            <v>160.30000000000001</v>
          </cell>
          <cell r="H27">
            <v>148.6</v>
          </cell>
          <cell r="I27">
            <v>11.7</v>
          </cell>
          <cell r="J27">
            <v>20.5</v>
          </cell>
          <cell r="K27">
            <v>172</v>
          </cell>
          <cell r="L27">
            <v>155.80000000000001</v>
          </cell>
          <cell r="M27">
            <v>16.2</v>
          </cell>
          <cell r="N27">
            <v>19.600000000000001</v>
          </cell>
          <cell r="O27">
            <v>150</v>
          </cell>
          <cell r="P27">
            <v>142.19999999999999</v>
          </cell>
          <cell r="Q27">
            <v>7.8</v>
          </cell>
        </row>
        <row r="28">
          <cell r="C28" t="str">
            <v>繊維工業</v>
          </cell>
          <cell r="F28">
            <v>19.7</v>
          </cell>
          <cell r="G28">
            <v>163.30000000000001</v>
          </cell>
          <cell r="H28">
            <v>148.30000000000001</v>
          </cell>
          <cell r="I28">
            <v>15</v>
          </cell>
          <cell r="J28">
            <v>19.600000000000001</v>
          </cell>
          <cell r="K28">
            <v>162.30000000000001</v>
          </cell>
          <cell r="L28">
            <v>146.19999999999999</v>
          </cell>
          <cell r="M28">
            <v>16.100000000000001</v>
          </cell>
          <cell r="N28">
            <v>19.7</v>
          </cell>
          <cell r="O28">
            <v>164</v>
          </cell>
          <cell r="P28">
            <v>149.80000000000001</v>
          </cell>
          <cell r="Q28">
            <v>14.2</v>
          </cell>
        </row>
        <row r="29">
          <cell r="C29" t="str">
            <v>木材・木製品</v>
          </cell>
          <cell r="F29">
            <v>20.2</v>
          </cell>
          <cell r="G29">
            <v>167.7</v>
          </cell>
          <cell r="H29">
            <v>151.6</v>
          </cell>
          <cell r="I29">
            <v>16.100000000000001</v>
          </cell>
          <cell r="J29">
            <v>19.899999999999999</v>
          </cell>
          <cell r="K29">
            <v>174.9</v>
          </cell>
          <cell r="L29">
            <v>155.80000000000001</v>
          </cell>
          <cell r="M29">
            <v>19.100000000000001</v>
          </cell>
          <cell r="N29">
            <v>21.1</v>
          </cell>
          <cell r="O29">
            <v>140</v>
          </cell>
          <cell r="P29">
            <v>135.69999999999999</v>
          </cell>
          <cell r="Q29">
            <v>4.3</v>
          </cell>
        </row>
        <row r="30">
          <cell r="C30" t="str">
            <v>家具・装備品</v>
          </cell>
          <cell r="F30" t="str">
            <v>#20.2</v>
          </cell>
          <cell r="G30" t="str">
            <v>#151.2</v>
          </cell>
          <cell r="H30" t="str">
            <v>#151.2</v>
          </cell>
          <cell r="I30" t="str">
            <v>#0</v>
          </cell>
          <cell r="J30" t="str">
            <v>#20.7</v>
          </cell>
          <cell r="K30" t="str">
            <v>#160.9</v>
          </cell>
          <cell r="L30" t="str">
            <v>#160.9</v>
          </cell>
          <cell r="M30" t="str">
            <v>#0</v>
          </cell>
          <cell r="N30" t="str">
            <v>#18.8</v>
          </cell>
          <cell r="O30" t="str">
            <v>#127.3</v>
          </cell>
          <cell r="P30" t="str">
            <v>#127.3</v>
          </cell>
          <cell r="Q30" t="str">
            <v>#0</v>
          </cell>
        </row>
        <row r="31">
          <cell r="C31" t="str">
            <v>パルプ・紙</v>
          </cell>
          <cell r="F31" t="str">
            <v>#22.6</v>
          </cell>
          <cell r="G31" t="str">
            <v>#181.4</v>
          </cell>
          <cell r="H31" t="str">
            <v>#167.9</v>
          </cell>
          <cell r="I31" t="str">
            <v>#13.5</v>
          </cell>
          <cell r="J31" t="str">
            <v>#22.8</v>
          </cell>
          <cell r="K31" t="str">
            <v>#184.8</v>
          </cell>
          <cell r="L31" t="str">
            <v>#168.6</v>
          </cell>
          <cell r="M31" t="str">
            <v>#16.2</v>
          </cell>
          <cell r="N31" t="str">
            <v>#22</v>
          </cell>
          <cell r="O31" t="str">
            <v>#171.1</v>
          </cell>
          <cell r="P31" t="str">
            <v>#165.7</v>
          </cell>
          <cell r="Q31" t="str">
            <v>#5.4</v>
          </cell>
        </row>
        <row r="32">
          <cell r="C32" t="str">
            <v>印刷・同関連業</v>
          </cell>
          <cell r="F32">
            <v>17.899999999999999</v>
          </cell>
          <cell r="G32">
            <v>129.9</v>
          </cell>
          <cell r="H32">
            <v>121.2</v>
          </cell>
          <cell r="I32">
            <v>8.6999999999999993</v>
          </cell>
          <cell r="J32">
            <v>18.2</v>
          </cell>
          <cell r="K32">
            <v>134.80000000000001</v>
          </cell>
          <cell r="L32">
            <v>124.6</v>
          </cell>
          <cell r="M32">
            <v>10.199999999999999</v>
          </cell>
          <cell r="N32">
            <v>17.100000000000001</v>
          </cell>
          <cell r="O32">
            <v>117.4</v>
          </cell>
          <cell r="P32">
            <v>112.6</v>
          </cell>
          <cell r="Q32">
            <v>4.8</v>
          </cell>
        </row>
        <row r="33">
          <cell r="C33" t="str">
            <v>化学、石油・石炭</v>
          </cell>
          <cell r="F33">
            <v>19.8</v>
          </cell>
          <cell r="G33">
            <v>160.9</v>
          </cell>
          <cell r="H33">
            <v>145.4</v>
          </cell>
          <cell r="I33">
            <v>15.5</v>
          </cell>
          <cell r="J33">
            <v>19.8</v>
          </cell>
          <cell r="K33">
            <v>162.19999999999999</v>
          </cell>
          <cell r="L33">
            <v>145.80000000000001</v>
          </cell>
          <cell r="M33">
            <v>16.399999999999999</v>
          </cell>
          <cell r="N33">
            <v>18.899999999999999</v>
          </cell>
          <cell r="O33">
            <v>145.30000000000001</v>
          </cell>
          <cell r="P33">
            <v>140.9</v>
          </cell>
          <cell r="Q33">
            <v>4.4000000000000004</v>
          </cell>
        </row>
        <row r="34">
          <cell r="C34" t="str">
            <v>プラスチック製品</v>
          </cell>
          <cell r="F34">
            <v>20.3</v>
          </cell>
          <cell r="G34">
            <v>154.30000000000001</v>
          </cell>
          <cell r="H34">
            <v>143.4</v>
          </cell>
          <cell r="I34">
            <v>10.9</v>
          </cell>
          <cell r="J34">
            <v>20.2</v>
          </cell>
          <cell r="K34">
            <v>161</v>
          </cell>
          <cell r="L34">
            <v>146.80000000000001</v>
          </cell>
          <cell r="M34">
            <v>14.2</v>
          </cell>
          <cell r="N34">
            <v>20.7</v>
          </cell>
          <cell r="O34">
            <v>135.5</v>
          </cell>
          <cell r="P34">
            <v>133.80000000000001</v>
          </cell>
          <cell r="Q34">
            <v>1.7</v>
          </cell>
        </row>
        <row r="35">
          <cell r="C35" t="str">
            <v>ゴム製品</v>
          </cell>
          <cell r="F35">
            <v>20.3</v>
          </cell>
          <cell r="G35">
            <v>170.1</v>
          </cell>
          <cell r="H35">
            <v>149.5</v>
          </cell>
          <cell r="I35">
            <v>20.6</v>
          </cell>
          <cell r="J35">
            <v>20.399999999999999</v>
          </cell>
          <cell r="K35">
            <v>171.5</v>
          </cell>
          <cell r="L35">
            <v>149.1</v>
          </cell>
          <cell r="M35">
            <v>22.4</v>
          </cell>
          <cell r="N35">
            <v>19.7</v>
          </cell>
          <cell r="O35">
            <v>160.80000000000001</v>
          </cell>
          <cell r="P35">
            <v>151.6</v>
          </cell>
          <cell r="Q35">
            <v>9.1999999999999993</v>
          </cell>
        </row>
        <row r="36">
          <cell r="C36" t="str">
            <v>窯業・土石製品</v>
          </cell>
          <cell r="F36">
            <v>21.2</v>
          </cell>
          <cell r="G36">
            <v>173</v>
          </cell>
          <cell r="H36">
            <v>158.9</v>
          </cell>
          <cell r="I36">
            <v>14.1</v>
          </cell>
          <cell r="J36">
            <v>21.6</v>
          </cell>
          <cell r="K36">
            <v>182.8</v>
          </cell>
          <cell r="L36">
            <v>165.6</v>
          </cell>
          <cell r="M36">
            <v>17.2</v>
          </cell>
          <cell r="N36">
            <v>20.100000000000001</v>
          </cell>
          <cell r="O36">
            <v>138.6</v>
          </cell>
          <cell r="P36">
            <v>135.4</v>
          </cell>
          <cell r="Q36">
            <v>3.2</v>
          </cell>
        </row>
        <row r="37">
          <cell r="C37" t="str">
            <v>鉄鋼業</v>
          </cell>
          <cell r="F37" t="str">
            <v>#19.5</v>
          </cell>
          <cell r="G37" t="str">
            <v>#176.7</v>
          </cell>
          <cell r="H37" t="str">
            <v>#152.6</v>
          </cell>
          <cell r="I37" t="str">
            <v>#24.1</v>
          </cell>
          <cell r="J37" t="str">
            <v>#19.5</v>
          </cell>
          <cell r="K37" t="str">
            <v>#177.4</v>
          </cell>
          <cell r="L37" t="str">
            <v>#152.5</v>
          </cell>
          <cell r="M37" t="str">
            <v>#24.9</v>
          </cell>
          <cell r="N37" t="str">
            <v>#19.4</v>
          </cell>
          <cell r="O37" t="str">
            <v>#167.8</v>
          </cell>
          <cell r="P37" t="str">
            <v>#153.7</v>
          </cell>
          <cell r="Q37" t="str">
            <v>#14.1</v>
          </cell>
        </row>
        <row r="38">
          <cell r="C38" t="str">
            <v>非鉄金属製造業</v>
          </cell>
          <cell r="F38" t="str">
            <v>#19.3</v>
          </cell>
          <cell r="G38" t="str">
            <v>#158.9</v>
          </cell>
          <cell r="H38" t="str">
            <v>#151</v>
          </cell>
          <cell r="I38" t="str">
            <v>#7.9</v>
          </cell>
          <cell r="J38" t="str">
            <v>#19.4</v>
          </cell>
          <cell r="K38" t="str">
            <v>#163.1</v>
          </cell>
          <cell r="L38" t="str">
            <v>#152.8</v>
          </cell>
          <cell r="M38" t="str">
            <v>#10.3</v>
          </cell>
          <cell r="N38" t="str">
            <v>#19.1</v>
          </cell>
          <cell r="O38" t="str">
            <v>#151.1</v>
          </cell>
          <cell r="P38" t="str">
            <v>#147.6</v>
          </cell>
          <cell r="Q38" t="str">
            <v>#3.5</v>
          </cell>
        </row>
        <row r="39">
          <cell r="C39" t="str">
            <v>金属製品製造業</v>
          </cell>
          <cell r="F39">
            <v>20.8</v>
          </cell>
          <cell r="G39">
            <v>174.7</v>
          </cell>
          <cell r="H39">
            <v>161.80000000000001</v>
          </cell>
          <cell r="I39">
            <v>12.9</v>
          </cell>
          <cell r="J39">
            <v>20.8</v>
          </cell>
          <cell r="K39">
            <v>177.4</v>
          </cell>
          <cell r="L39">
            <v>162.9</v>
          </cell>
          <cell r="M39">
            <v>14.5</v>
          </cell>
          <cell r="N39">
            <v>20.8</v>
          </cell>
          <cell r="O39">
            <v>166.1</v>
          </cell>
          <cell r="P39">
            <v>158.4</v>
          </cell>
          <cell r="Q39">
            <v>7.7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18.899999999999999</v>
          </cell>
          <cell r="G42">
            <v>157.69999999999999</v>
          </cell>
          <cell r="H42">
            <v>147.6</v>
          </cell>
          <cell r="I42">
            <v>10.1</v>
          </cell>
          <cell r="J42">
            <v>19.2</v>
          </cell>
          <cell r="K42">
            <v>160.80000000000001</v>
          </cell>
          <cell r="L42">
            <v>148.5</v>
          </cell>
          <cell r="M42">
            <v>12.3</v>
          </cell>
          <cell r="N42">
            <v>18.5</v>
          </cell>
          <cell r="O42">
            <v>154.80000000000001</v>
          </cell>
          <cell r="P42">
            <v>146.69999999999999</v>
          </cell>
          <cell r="Q42">
            <v>8.1</v>
          </cell>
        </row>
        <row r="43">
          <cell r="C43" t="str">
            <v>電子・デバイス</v>
          </cell>
          <cell r="F43">
            <v>18.7</v>
          </cell>
          <cell r="G43">
            <v>157.4</v>
          </cell>
          <cell r="H43">
            <v>145.5</v>
          </cell>
          <cell r="I43">
            <v>11.9</v>
          </cell>
          <cell r="J43">
            <v>18.8</v>
          </cell>
          <cell r="K43">
            <v>164.5</v>
          </cell>
          <cell r="L43">
            <v>149.6</v>
          </cell>
          <cell r="M43">
            <v>14.9</v>
          </cell>
          <cell r="N43">
            <v>18.399999999999999</v>
          </cell>
          <cell r="O43">
            <v>143.69999999999999</v>
          </cell>
          <cell r="P43">
            <v>137.5</v>
          </cell>
          <cell r="Q43">
            <v>6.2</v>
          </cell>
        </row>
        <row r="44">
          <cell r="C44" t="str">
            <v>電気機械器具</v>
          </cell>
          <cell r="F44">
            <v>20</v>
          </cell>
          <cell r="G44">
            <v>162.69999999999999</v>
          </cell>
          <cell r="H44">
            <v>154.69999999999999</v>
          </cell>
          <cell r="I44">
            <v>8</v>
          </cell>
          <cell r="J44">
            <v>20.399999999999999</v>
          </cell>
          <cell r="K44">
            <v>168.6</v>
          </cell>
          <cell r="L44">
            <v>158.19999999999999</v>
          </cell>
          <cell r="M44">
            <v>10.4</v>
          </cell>
          <cell r="N44">
            <v>19.3</v>
          </cell>
          <cell r="O44">
            <v>150.69999999999999</v>
          </cell>
          <cell r="P44">
            <v>147.5</v>
          </cell>
          <cell r="Q44">
            <v>3.2</v>
          </cell>
        </row>
        <row r="45">
          <cell r="C45" t="str">
            <v>情報通信機械器具</v>
          </cell>
          <cell r="F45" t="str">
            <v>#19.6</v>
          </cell>
          <cell r="G45" t="str">
            <v>#163.3</v>
          </cell>
          <cell r="H45" t="str">
            <v>#154</v>
          </cell>
          <cell r="I45" t="str">
            <v>#9.3</v>
          </cell>
          <cell r="J45" t="str">
            <v>#19.9</v>
          </cell>
          <cell r="K45" t="str">
            <v>#170.3</v>
          </cell>
          <cell r="L45" t="str">
            <v>#158</v>
          </cell>
          <cell r="M45" t="str">
            <v>#12.3</v>
          </cell>
          <cell r="N45" t="str">
            <v>#19.3</v>
          </cell>
          <cell r="O45" t="str">
            <v>#156.2</v>
          </cell>
          <cell r="P45" t="str">
            <v>#150</v>
          </cell>
          <cell r="Q45" t="str">
            <v>#6.2</v>
          </cell>
        </row>
        <row r="46">
          <cell r="C46" t="str">
            <v>輸送用機械器具</v>
          </cell>
          <cell r="F46">
            <v>19.7</v>
          </cell>
          <cell r="G46">
            <v>186.2</v>
          </cell>
          <cell r="H46">
            <v>159.9</v>
          </cell>
          <cell r="I46">
            <v>26.3</v>
          </cell>
          <cell r="J46">
            <v>19.8</v>
          </cell>
          <cell r="K46">
            <v>190.6</v>
          </cell>
          <cell r="L46">
            <v>162.5</v>
          </cell>
          <cell r="M46">
            <v>28.1</v>
          </cell>
          <cell r="N46">
            <v>19.3</v>
          </cell>
          <cell r="O46">
            <v>167.4</v>
          </cell>
          <cell r="P46">
            <v>148.69999999999999</v>
          </cell>
          <cell r="Q46">
            <v>18.7</v>
          </cell>
        </row>
        <row r="47">
          <cell r="C47" t="str">
            <v>その他の製造業</v>
          </cell>
          <cell r="F47">
            <v>20.6</v>
          </cell>
          <cell r="G47">
            <v>172.3</v>
          </cell>
          <cell r="H47">
            <v>154.6</v>
          </cell>
          <cell r="I47">
            <v>17.7</v>
          </cell>
          <cell r="J47">
            <v>21.1</v>
          </cell>
          <cell r="K47">
            <v>183.1</v>
          </cell>
          <cell r="L47">
            <v>160.80000000000001</v>
          </cell>
          <cell r="M47">
            <v>22.3</v>
          </cell>
          <cell r="N47">
            <v>18.5</v>
          </cell>
          <cell r="O47">
            <v>133.80000000000001</v>
          </cell>
          <cell r="P47">
            <v>132.4</v>
          </cell>
          <cell r="Q47">
            <v>1.4</v>
          </cell>
        </row>
        <row r="48">
          <cell r="C48" t="str">
            <v>Ｅ一括分１</v>
          </cell>
          <cell r="F48">
            <v>19.399999999999999</v>
          </cell>
          <cell r="G48">
            <v>167.4</v>
          </cell>
          <cell r="H48">
            <v>154.19999999999999</v>
          </cell>
          <cell r="I48">
            <v>13.2</v>
          </cell>
          <cell r="J48">
            <v>19.8</v>
          </cell>
          <cell r="K48">
            <v>175.6</v>
          </cell>
          <cell r="L48">
            <v>158.30000000000001</v>
          </cell>
          <cell r="M48">
            <v>17.3</v>
          </cell>
          <cell r="N48">
            <v>18.8</v>
          </cell>
          <cell r="O48">
            <v>154.30000000000001</v>
          </cell>
          <cell r="P48">
            <v>147.69999999999999</v>
          </cell>
          <cell r="Q48">
            <v>6.6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20.9</v>
          </cell>
          <cell r="G51">
            <v>167</v>
          </cell>
          <cell r="H51">
            <v>158.19999999999999</v>
          </cell>
          <cell r="I51">
            <v>8.8000000000000007</v>
          </cell>
          <cell r="J51">
            <v>20.9</v>
          </cell>
          <cell r="K51">
            <v>171.6</v>
          </cell>
          <cell r="L51">
            <v>159.9</v>
          </cell>
          <cell r="M51">
            <v>11.7</v>
          </cell>
          <cell r="N51">
            <v>20.8</v>
          </cell>
          <cell r="O51">
            <v>157.80000000000001</v>
          </cell>
          <cell r="P51">
            <v>154.69999999999999</v>
          </cell>
          <cell r="Q51">
            <v>3.1</v>
          </cell>
        </row>
        <row r="52">
          <cell r="C52" t="str">
            <v>小売業</v>
          </cell>
          <cell r="F52">
            <v>17.7</v>
          </cell>
          <cell r="G52">
            <v>117</v>
          </cell>
          <cell r="H52">
            <v>110.5</v>
          </cell>
          <cell r="I52">
            <v>6.5</v>
          </cell>
          <cell r="J52">
            <v>18.8</v>
          </cell>
          <cell r="K52">
            <v>143.6</v>
          </cell>
          <cell r="L52">
            <v>131.5</v>
          </cell>
          <cell r="M52">
            <v>12.1</v>
          </cell>
          <cell r="N52">
            <v>17.100000000000001</v>
          </cell>
          <cell r="O52">
            <v>104</v>
          </cell>
          <cell r="P52">
            <v>100.2</v>
          </cell>
          <cell r="Q52">
            <v>3.8</v>
          </cell>
        </row>
        <row r="53">
          <cell r="C53" t="str">
            <v>宿泊業</v>
          </cell>
          <cell r="F53">
            <v>19.600000000000001</v>
          </cell>
          <cell r="G53">
            <v>130</v>
          </cell>
          <cell r="H53">
            <v>120.3</v>
          </cell>
          <cell r="I53">
            <v>9.6999999999999993</v>
          </cell>
          <cell r="J53">
            <v>20</v>
          </cell>
          <cell r="K53">
            <v>149.80000000000001</v>
          </cell>
          <cell r="L53">
            <v>135.5</v>
          </cell>
          <cell r="M53">
            <v>14.3</v>
          </cell>
          <cell r="N53">
            <v>19.3</v>
          </cell>
          <cell r="O53">
            <v>115.5</v>
          </cell>
          <cell r="P53">
            <v>109.2</v>
          </cell>
          <cell r="Q53">
            <v>6.3</v>
          </cell>
        </row>
        <row r="54">
          <cell r="C54" t="str">
            <v>Ｍ一括分</v>
          </cell>
          <cell r="F54">
            <v>12.9</v>
          </cell>
          <cell r="G54">
            <v>76.3</v>
          </cell>
          <cell r="H54">
            <v>73.3</v>
          </cell>
          <cell r="I54">
            <v>3</v>
          </cell>
          <cell r="J54">
            <v>13.5</v>
          </cell>
          <cell r="K54">
            <v>81.400000000000006</v>
          </cell>
          <cell r="L54">
            <v>77.2</v>
          </cell>
          <cell r="M54">
            <v>4.2</v>
          </cell>
          <cell r="N54">
            <v>12.5</v>
          </cell>
          <cell r="O54">
            <v>73.5</v>
          </cell>
          <cell r="P54">
            <v>71.099999999999994</v>
          </cell>
          <cell r="Q54">
            <v>2.4</v>
          </cell>
        </row>
        <row r="55">
          <cell r="C55" t="str">
            <v>医療業</v>
          </cell>
          <cell r="F55">
            <v>19.100000000000001</v>
          </cell>
          <cell r="G55">
            <v>146.5</v>
          </cell>
          <cell r="H55">
            <v>141.6</v>
          </cell>
          <cell r="I55">
            <v>4.9000000000000004</v>
          </cell>
          <cell r="J55">
            <v>18.899999999999999</v>
          </cell>
          <cell r="K55">
            <v>152.5</v>
          </cell>
          <cell r="L55">
            <v>146.69999999999999</v>
          </cell>
          <cell r="M55">
            <v>5.8</v>
          </cell>
          <cell r="N55">
            <v>19.2</v>
          </cell>
          <cell r="O55">
            <v>144.4</v>
          </cell>
          <cell r="P55">
            <v>139.80000000000001</v>
          </cell>
          <cell r="Q55">
            <v>4.5999999999999996</v>
          </cell>
        </row>
        <row r="56">
          <cell r="C56" t="str">
            <v>Ｐ一括分</v>
          </cell>
          <cell r="F56">
            <v>18.5</v>
          </cell>
          <cell r="G56">
            <v>135.80000000000001</v>
          </cell>
          <cell r="H56">
            <v>133.19999999999999</v>
          </cell>
          <cell r="I56">
            <v>2.6</v>
          </cell>
          <cell r="J56">
            <v>19</v>
          </cell>
          <cell r="K56">
            <v>146.5</v>
          </cell>
          <cell r="L56">
            <v>143</v>
          </cell>
          <cell r="M56">
            <v>3.5</v>
          </cell>
          <cell r="N56">
            <v>18.3</v>
          </cell>
          <cell r="O56">
            <v>131.5</v>
          </cell>
          <cell r="P56">
            <v>129.30000000000001</v>
          </cell>
          <cell r="Q56">
            <v>2.2000000000000002</v>
          </cell>
        </row>
        <row r="57">
          <cell r="C57" t="str">
            <v>職業紹介・派遣業</v>
          </cell>
          <cell r="F57">
            <v>18.5</v>
          </cell>
          <cell r="G57">
            <v>146.19999999999999</v>
          </cell>
          <cell r="H57">
            <v>138.1</v>
          </cell>
          <cell r="I57">
            <v>8.1</v>
          </cell>
          <cell r="J57">
            <v>19</v>
          </cell>
          <cell r="K57">
            <v>161.69999999999999</v>
          </cell>
          <cell r="L57">
            <v>149</v>
          </cell>
          <cell r="M57">
            <v>12.7</v>
          </cell>
          <cell r="N57">
            <v>18.100000000000001</v>
          </cell>
          <cell r="O57">
            <v>134.30000000000001</v>
          </cell>
          <cell r="P57">
            <v>129.80000000000001</v>
          </cell>
          <cell r="Q57">
            <v>4.5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18.600000000000001</v>
          </cell>
          <cell r="G59">
            <v>137.69999999999999</v>
          </cell>
          <cell r="H59">
            <v>129</v>
          </cell>
          <cell r="I59">
            <v>8.6999999999999993</v>
          </cell>
          <cell r="J59">
            <v>19.100000000000001</v>
          </cell>
          <cell r="K59">
            <v>152.80000000000001</v>
          </cell>
          <cell r="L59">
            <v>140.80000000000001</v>
          </cell>
          <cell r="M59">
            <v>12</v>
          </cell>
          <cell r="N59">
            <v>18</v>
          </cell>
          <cell r="O59">
            <v>119.7</v>
          </cell>
          <cell r="P59">
            <v>114.9</v>
          </cell>
          <cell r="Q59">
            <v>4.8</v>
          </cell>
        </row>
        <row r="60">
          <cell r="C60" t="str">
            <v>特掲産業１</v>
          </cell>
          <cell r="F60" t="str">
            <v>#15.4</v>
          </cell>
          <cell r="G60" t="str">
            <v>#122.3</v>
          </cell>
          <cell r="H60" t="str">
            <v>#117.1</v>
          </cell>
          <cell r="I60" t="str">
            <v>#5.2</v>
          </cell>
          <cell r="J60" t="str">
            <v>#15.6</v>
          </cell>
          <cell r="K60" t="str">
            <v>#127.2</v>
          </cell>
          <cell r="L60" t="str">
            <v>#121</v>
          </cell>
          <cell r="M60" t="str">
            <v>#6.2</v>
          </cell>
          <cell r="N60" t="str">
            <v>#14.9</v>
          </cell>
          <cell r="O60" t="str">
            <v>#111.4</v>
          </cell>
          <cell r="P60" t="str">
            <v>#108.5</v>
          </cell>
          <cell r="Q60" t="str">
            <v>#2.9</v>
          </cell>
        </row>
        <row r="61">
          <cell r="C61" t="str">
            <v>特掲産業２</v>
          </cell>
          <cell r="F61" t="str">
            <v>#18.2</v>
          </cell>
          <cell r="G61" t="str">
            <v>#141.7</v>
          </cell>
          <cell r="H61" t="str">
            <v>#131.4</v>
          </cell>
          <cell r="I61" t="str">
            <v>#10.3</v>
          </cell>
          <cell r="J61" t="str">
            <v>#20.1</v>
          </cell>
          <cell r="K61" t="str">
            <v>#168.4</v>
          </cell>
          <cell r="L61" t="str">
            <v>#152.2</v>
          </cell>
          <cell r="M61" t="str">
            <v>#16.2</v>
          </cell>
          <cell r="N61" t="str">
            <v>#15.5</v>
          </cell>
          <cell r="O61" t="str">
            <v>#105</v>
          </cell>
          <cell r="P61" t="str">
            <v>#102.8</v>
          </cell>
          <cell r="Q61" t="str">
            <v>#2.2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18.5</v>
          </cell>
          <cell r="G80">
            <v>141.4</v>
          </cell>
          <cell r="H80">
            <v>132.19999999999999</v>
          </cell>
          <cell r="I80">
            <v>9.1999999999999993</v>
          </cell>
          <cell r="J80">
            <v>19.3</v>
          </cell>
          <cell r="K80">
            <v>157.4</v>
          </cell>
          <cell r="L80">
            <v>143.6</v>
          </cell>
          <cell r="M80">
            <v>13.8</v>
          </cell>
          <cell r="N80">
            <v>17.7</v>
          </cell>
          <cell r="O80">
            <v>126</v>
          </cell>
          <cell r="P80">
            <v>121.1</v>
          </cell>
          <cell r="Q80">
            <v>4.9000000000000004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21.1</v>
          </cell>
          <cell r="G82">
            <v>164.2</v>
          </cell>
          <cell r="H82">
            <v>156.5</v>
          </cell>
          <cell r="I82">
            <v>7.7</v>
          </cell>
          <cell r="J82">
            <v>21.4</v>
          </cell>
          <cell r="K82">
            <v>168.7</v>
          </cell>
          <cell r="L82">
            <v>160.1</v>
          </cell>
          <cell r="M82">
            <v>8.6</v>
          </cell>
          <cell r="N82">
            <v>19.399999999999999</v>
          </cell>
          <cell r="O82">
            <v>138.9</v>
          </cell>
          <cell r="P82">
            <v>136.1</v>
          </cell>
          <cell r="Q82">
            <v>2.8</v>
          </cell>
        </row>
        <row r="83">
          <cell r="C83" t="str">
            <v>製造業</v>
          </cell>
          <cell r="F83">
            <v>19.5</v>
          </cell>
          <cell r="G83">
            <v>159.30000000000001</v>
          </cell>
          <cell r="H83">
            <v>146.1</v>
          </cell>
          <cell r="I83">
            <v>13.2</v>
          </cell>
          <cell r="J83">
            <v>20.100000000000001</v>
          </cell>
          <cell r="K83">
            <v>170.2</v>
          </cell>
          <cell r="L83">
            <v>152.9</v>
          </cell>
          <cell r="M83">
            <v>17.3</v>
          </cell>
          <cell r="N83">
            <v>18.8</v>
          </cell>
          <cell r="O83">
            <v>144.1</v>
          </cell>
          <cell r="P83">
            <v>136.69999999999999</v>
          </cell>
          <cell r="Q83">
            <v>7.4</v>
          </cell>
        </row>
        <row r="84">
          <cell r="C84" t="str">
            <v>電気・ガス・熱供給・水道業</v>
          </cell>
          <cell r="F84">
            <v>18.399999999999999</v>
          </cell>
          <cell r="G84">
            <v>155.19999999999999</v>
          </cell>
          <cell r="H84">
            <v>139.9</v>
          </cell>
          <cell r="I84">
            <v>15.3</v>
          </cell>
          <cell r="J84">
            <v>18.5</v>
          </cell>
          <cell r="K84">
            <v>159.69999999999999</v>
          </cell>
          <cell r="L84">
            <v>142.6</v>
          </cell>
          <cell r="M84">
            <v>17.100000000000001</v>
          </cell>
          <cell r="N84">
            <v>17.600000000000001</v>
          </cell>
          <cell r="O84">
            <v>125.6</v>
          </cell>
          <cell r="P84">
            <v>121.9</v>
          </cell>
          <cell r="Q84">
            <v>3.7</v>
          </cell>
        </row>
        <row r="85">
          <cell r="C85" t="str">
            <v>情報通信業</v>
          </cell>
          <cell r="F85">
            <v>19.7</v>
          </cell>
          <cell r="G85">
            <v>159.69999999999999</v>
          </cell>
          <cell r="H85">
            <v>147.4</v>
          </cell>
          <cell r="I85">
            <v>12.3</v>
          </cell>
          <cell r="J85">
            <v>20</v>
          </cell>
          <cell r="K85">
            <v>163.80000000000001</v>
          </cell>
          <cell r="L85">
            <v>151.19999999999999</v>
          </cell>
          <cell r="M85">
            <v>12.6</v>
          </cell>
          <cell r="N85">
            <v>19</v>
          </cell>
          <cell r="O85">
            <v>150.9</v>
          </cell>
          <cell r="P85">
            <v>139.19999999999999</v>
          </cell>
          <cell r="Q85">
            <v>11.7</v>
          </cell>
        </row>
        <row r="86">
          <cell r="C86" t="str">
            <v>運輸業，郵便業</v>
          </cell>
          <cell r="F86">
            <v>21.2</v>
          </cell>
          <cell r="G86">
            <v>192.7</v>
          </cell>
          <cell r="H86">
            <v>160.5</v>
          </cell>
          <cell r="I86">
            <v>32.200000000000003</v>
          </cell>
          <cell r="J86">
            <v>21.3</v>
          </cell>
          <cell r="K86">
            <v>197.3</v>
          </cell>
          <cell r="L86">
            <v>162.6</v>
          </cell>
          <cell r="M86">
            <v>34.700000000000003</v>
          </cell>
          <cell r="N86">
            <v>20.100000000000001</v>
          </cell>
          <cell r="O86">
            <v>144.19999999999999</v>
          </cell>
          <cell r="P86">
            <v>138.19999999999999</v>
          </cell>
          <cell r="Q86">
            <v>6</v>
          </cell>
        </row>
        <row r="87">
          <cell r="C87" t="str">
            <v>卸売業，小売業</v>
          </cell>
          <cell r="F87">
            <v>17.899999999999999</v>
          </cell>
          <cell r="G87">
            <v>131.6</v>
          </cell>
          <cell r="H87">
            <v>123.8</v>
          </cell>
          <cell r="I87">
            <v>7.8</v>
          </cell>
          <cell r="J87">
            <v>18.8</v>
          </cell>
          <cell r="K87">
            <v>152.9</v>
          </cell>
          <cell r="L87">
            <v>140.5</v>
          </cell>
          <cell r="M87">
            <v>12.4</v>
          </cell>
          <cell r="N87">
            <v>17.100000000000001</v>
          </cell>
          <cell r="O87">
            <v>109.9</v>
          </cell>
          <cell r="P87">
            <v>106.8</v>
          </cell>
          <cell r="Q87">
            <v>3.1</v>
          </cell>
        </row>
        <row r="88">
          <cell r="C88" t="str">
            <v>金融業，保険業</v>
          </cell>
          <cell r="F88">
            <v>18.2</v>
          </cell>
          <cell r="G88">
            <v>139.5</v>
          </cell>
          <cell r="H88">
            <v>133.1</v>
          </cell>
          <cell r="I88">
            <v>6.4</v>
          </cell>
          <cell r="J88">
            <v>18.899999999999999</v>
          </cell>
          <cell r="K88">
            <v>152.6</v>
          </cell>
          <cell r="L88">
            <v>143.30000000000001</v>
          </cell>
          <cell r="M88">
            <v>9.3000000000000007</v>
          </cell>
          <cell r="N88">
            <v>17.7</v>
          </cell>
          <cell r="O88">
            <v>128.6</v>
          </cell>
          <cell r="P88">
            <v>124.7</v>
          </cell>
          <cell r="Q88">
            <v>3.9</v>
          </cell>
        </row>
        <row r="89">
          <cell r="C89" t="str">
            <v>不動産業，物品賃貸業</v>
          </cell>
          <cell r="F89">
            <v>17.399999999999999</v>
          </cell>
          <cell r="G89">
            <v>119.5</v>
          </cell>
          <cell r="H89">
            <v>118</v>
          </cell>
          <cell r="I89">
            <v>1.5</v>
          </cell>
          <cell r="J89">
            <v>18</v>
          </cell>
          <cell r="K89">
            <v>131</v>
          </cell>
          <cell r="L89">
            <v>128.69999999999999</v>
          </cell>
          <cell r="M89">
            <v>2.2999999999999998</v>
          </cell>
          <cell r="N89">
            <v>16.5</v>
          </cell>
          <cell r="O89">
            <v>105.1</v>
          </cell>
          <cell r="P89">
            <v>104.6</v>
          </cell>
          <cell r="Q89">
            <v>0.5</v>
          </cell>
        </row>
        <row r="90">
          <cell r="C90" t="str">
            <v>学術研究，専門・技術サービス業</v>
          </cell>
          <cell r="F90">
            <v>18.899999999999999</v>
          </cell>
          <cell r="G90">
            <v>147.6</v>
          </cell>
          <cell r="H90">
            <v>139.4</v>
          </cell>
          <cell r="I90">
            <v>8.1999999999999993</v>
          </cell>
          <cell r="J90">
            <v>18.7</v>
          </cell>
          <cell r="K90">
            <v>154.5</v>
          </cell>
          <cell r="L90">
            <v>144.9</v>
          </cell>
          <cell r="M90">
            <v>9.6</v>
          </cell>
          <cell r="N90">
            <v>19.100000000000001</v>
          </cell>
          <cell r="O90">
            <v>136</v>
          </cell>
          <cell r="P90">
            <v>130.19999999999999</v>
          </cell>
          <cell r="Q90">
            <v>5.8</v>
          </cell>
        </row>
        <row r="91">
          <cell r="C91" t="str">
            <v>宿泊業，飲食サービス業</v>
          </cell>
          <cell r="F91">
            <v>13.4</v>
          </cell>
          <cell r="G91">
            <v>76</v>
          </cell>
          <cell r="H91">
            <v>73.099999999999994</v>
          </cell>
          <cell r="I91">
            <v>2.9</v>
          </cell>
          <cell r="J91">
            <v>15</v>
          </cell>
          <cell r="K91">
            <v>89.7</v>
          </cell>
          <cell r="L91">
            <v>83.6</v>
          </cell>
          <cell r="M91">
            <v>6.1</v>
          </cell>
          <cell r="N91">
            <v>12.6</v>
          </cell>
          <cell r="O91">
            <v>68.400000000000006</v>
          </cell>
          <cell r="P91">
            <v>67.3</v>
          </cell>
          <cell r="Q91">
            <v>1.1000000000000001</v>
          </cell>
        </row>
        <row r="92">
          <cell r="C92" t="str">
            <v>生活関連サービス業，娯楽業</v>
          </cell>
          <cell r="F92">
            <v>16.8</v>
          </cell>
          <cell r="G92">
            <v>130.9</v>
          </cell>
          <cell r="H92">
            <v>123.1</v>
          </cell>
          <cell r="I92">
            <v>7.8</v>
          </cell>
          <cell r="J92">
            <v>16.899999999999999</v>
          </cell>
          <cell r="K92">
            <v>135.4</v>
          </cell>
          <cell r="L92">
            <v>125.9</v>
          </cell>
          <cell r="M92">
            <v>9.5</v>
          </cell>
          <cell r="N92">
            <v>16.5</v>
          </cell>
          <cell r="O92">
            <v>123.6</v>
          </cell>
          <cell r="P92">
            <v>118.5</v>
          </cell>
          <cell r="Q92">
            <v>5.0999999999999996</v>
          </cell>
        </row>
        <row r="93">
          <cell r="C93" t="str">
            <v>教育，学習支援業</v>
          </cell>
          <cell r="F93">
            <v>18.3</v>
          </cell>
          <cell r="G93">
            <v>153.19999999999999</v>
          </cell>
          <cell r="H93">
            <v>134.19999999999999</v>
          </cell>
          <cell r="I93">
            <v>19</v>
          </cell>
          <cell r="J93">
            <v>18.5</v>
          </cell>
          <cell r="K93">
            <v>161.80000000000001</v>
          </cell>
          <cell r="L93">
            <v>137.1</v>
          </cell>
          <cell r="M93">
            <v>24.7</v>
          </cell>
          <cell r="N93">
            <v>18.100000000000001</v>
          </cell>
          <cell r="O93">
            <v>146.69999999999999</v>
          </cell>
          <cell r="P93">
            <v>132</v>
          </cell>
          <cell r="Q93">
            <v>14.7</v>
          </cell>
        </row>
        <row r="94">
          <cell r="C94" t="str">
            <v>医療，福祉</v>
          </cell>
          <cell r="F94">
            <v>18.899999999999999</v>
          </cell>
          <cell r="G94">
            <v>140.80000000000001</v>
          </cell>
          <cell r="H94">
            <v>137</v>
          </cell>
          <cell r="I94">
            <v>3.8</v>
          </cell>
          <cell r="J94">
            <v>19.2</v>
          </cell>
          <cell r="K94">
            <v>147.9</v>
          </cell>
          <cell r="L94">
            <v>144.30000000000001</v>
          </cell>
          <cell r="M94">
            <v>3.6</v>
          </cell>
          <cell r="N94">
            <v>18.7</v>
          </cell>
          <cell r="O94">
            <v>138.30000000000001</v>
          </cell>
          <cell r="P94">
            <v>134.5</v>
          </cell>
          <cell r="Q94">
            <v>3.8</v>
          </cell>
        </row>
        <row r="95">
          <cell r="C95" t="str">
            <v>複合サービス事業</v>
          </cell>
          <cell r="F95">
            <v>19.5</v>
          </cell>
          <cell r="G95">
            <v>154.19999999999999</v>
          </cell>
          <cell r="H95">
            <v>149.80000000000001</v>
          </cell>
          <cell r="I95">
            <v>4.4000000000000004</v>
          </cell>
          <cell r="J95">
            <v>19.5</v>
          </cell>
          <cell r="K95">
            <v>157.69999999999999</v>
          </cell>
          <cell r="L95">
            <v>152.1</v>
          </cell>
          <cell r="M95">
            <v>5.6</v>
          </cell>
          <cell r="N95">
            <v>19.5</v>
          </cell>
          <cell r="O95">
            <v>148</v>
          </cell>
          <cell r="P95">
            <v>145.80000000000001</v>
          </cell>
          <cell r="Q95">
            <v>2.2000000000000002</v>
          </cell>
        </row>
        <row r="96">
          <cell r="C96" t="str">
            <v>サービス業（他に分類されないもの）</v>
          </cell>
          <cell r="F96">
            <v>19.100000000000001</v>
          </cell>
          <cell r="G96">
            <v>143.19999999999999</v>
          </cell>
          <cell r="H96">
            <v>135.1</v>
          </cell>
          <cell r="I96">
            <v>8.1</v>
          </cell>
          <cell r="J96">
            <v>19.7</v>
          </cell>
          <cell r="K96">
            <v>157</v>
          </cell>
          <cell r="L96">
            <v>145.5</v>
          </cell>
          <cell r="M96">
            <v>11.5</v>
          </cell>
          <cell r="N96">
            <v>18.399999999999999</v>
          </cell>
          <cell r="O96">
            <v>127.1</v>
          </cell>
          <cell r="P96">
            <v>122.9</v>
          </cell>
          <cell r="Q96">
            <v>4.2</v>
          </cell>
        </row>
        <row r="97">
          <cell r="C97" t="str">
            <v>食料品・たばこ</v>
          </cell>
          <cell r="F97">
            <v>18.899999999999999</v>
          </cell>
          <cell r="G97">
            <v>148.80000000000001</v>
          </cell>
          <cell r="H97">
            <v>138.6</v>
          </cell>
          <cell r="I97">
            <v>10.199999999999999</v>
          </cell>
          <cell r="J97">
            <v>19.899999999999999</v>
          </cell>
          <cell r="K97">
            <v>166.3</v>
          </cell>
          <cell r="L97">
            <v>151.4</v>
          </cell>
          <cell r="M97">
            <v>14.9</v>
          </cell>
          <cell r="N97">
            <v>18.2</v>
          </cell>
          <cell r="O97">
            <v>136.9</v>
          </cell>
          <cell r="P97">
            <v>129.9</v>
          </cell>
          <cell r="Q97">
            <v>7</v>
          </cell>
        </row>
        <row r="98">
          <cell r="C98" t="str">
            <v>繊維工業</v>
          </cell>
          <cell r="F98">
            <v>19.5</v>
          </cell>
          <cell r="G98">
            <v>159.6</v>
          </cell>
          <cell r="H98">
            <v>146</v>
          </cell>
          <cell r="I98">
            <v>13.6</v>
          </cell>
          <cell r="J98">
            <v>19.600000000000001</v>
          </cell>
          <cell r="K98">
            <v>161.69999999999999</v>
          </cell>
          <cell r="L98">
            <v>145.80000000000001</v>
          </cell>
          <cell r="M98">
            <v>15.9</v>
          </cell>
          <cell r="N98">
            <v>19.5</v>
          </cell>
          <cell r="O98">
            <v>158.4</v>
          </cell>
          <cell r="P98">
            <v>146.1</v>
          </cell>
          <cell r="Q98">
            <v>12.3</v>
          </cell>
        </row>
        <row r="99">
          <cell r="C99" t="str">
            <v>木材・木製品</v>
          </cell>
          <cell r="F99">
            <v>19.5</v>
          </cell>
          <cell r="G99">
            <v>157.6</v>
          </cell>
          <cell r="H99">
            <v>146.80000000000001</v>
          </cell>
          <cell r="I99">
            <v>10.8</v>
          </cell>
          <cell r="J99">
            <v>19.8</v>
          </cell>
          <cell r="K99">
            <v>166.5</v>
          </cell>
          <cell r="L99">
            <v>153.19999999999999</v>
          </cell>
          <cell r="M99">
            <v>13.3</v>
          </cell>
          <cell r="N99">
            <v>18.600000000000001</v>
          </cell>
          <cell r="O99">
            <v>133</v>
          </cell>
          <cell r="P99">
            <v>129.1</v>
          </cell>
          <cell r="Q99">
            <v>3.9</v>
          </cell>
        </row>
        <row r="100">
          <cell r="C100" t="str">
            <v>家具・装備品</v>
          </cell>
          <cell r="F100" t="str">
            <v>#20.2</v>
          </cell>
          <cell r="G100" t="str">
            <v>#151.2</v>
          </cell>
          <cell r="H100" t="str">
            <v>#151.2</v>
          </cell>
          <cell r="I100" t="str">
            <v>#0</v>
          </cell>
          <cell r="J100" t="str">
            <v>#20.7</v>
          </cell>
          <cell r="K100" t="str">
            <v>#160.9</v>
          </cell>
          <cell r="L100" t="str">
            <v>#160.9</v>
          </cell>
          <cell r="M100" t="str">
            <v>#0</v>
          </cell>
          <cell r="N100" t="str">
            <v>#18.8</v>
          </cell>
          <cell r="O100" t="str">
            <v>#127.3</v>
          </cell>
          <cell r="P100" t="str">
            <v>#127.3</v>
          </cell>
          <cell r="Q100" t="str">
            <v>#0</v>
          </cell>
        </row>
        <row r="101">
          <cell r="C101" t="str">
            <v>パルプ・紙</v>
          </cell>
          <cell r="F101">
            <v>23.1</v>
          </cell>
          <cell r="G101">
            <v>180.6</v>
          </cell>
          <cell r="H101">
            <v>168.9</v>
          </cell>
          <cell r="I101">
            <v>11.7</v>
          </cell>
          <cell r="J101">
            <v>23.4</v>
          </cell>
          <cell r="K101">
            <v>184.9</v>
          </cell>
          <cell r="L101">
            <v>171.1</v>
          </cell>
          <cell r="M101">
            <v>13.8</v>
          </cell>
          <cell r="N101">
            <v>22</v>
          </cell>
          <cell r="O101">
            <v>166.1</v>
          </cell>
          <cell r="P101">
            <v>161.4</v>
          </cell>
          <cell r="Q101">
            <v>4.7</v>
          </cell>
        </row>
        <row r="102">
          <cell r="C102" t="str">
            <v>印刷・同関連業</v>
          </cell>
          <cell r="F102">
            <v>19.399999999999999</v>
          </cell>
          <cell r="G102">
            <v>147.9</v>
          </cell>
          <cell r="H102">
            <v>141.6</v>
          </cell>
          <cell r="I102">
            <v>6.3</v>
          </cell>
          <cell r="J102">
            <v>19.5</v>
          </cell>
          <cell r="K102">
            <v>152.5</v>
          </cell>
          <cell r="L102">
            <v>145.30000000000001</v>
          </cell>
          <cell r="M102">
            <v>7.2</v>
          </cell>
          <cell r="N102">
            <v>19.100000000000001</v>
          </cell>
          <cell r="O102">
            <v>137.5</v>
          </cell>
          <cell r="P102">
            <v>133.30000000000001</v>
          </cell>
          <cell r="Q102">
            <v>4.2</v>
          </cell>
        </row>
        <row r="103">
          <cell r="C103" t="str">
            <v>化学、石油・石炭</v>
          </cell>
          <cell r="F103">
            <v>19.7</v>
          </cell>
          <cell r="G103">
            <v>161.69999999999999</v>
          </cell>
          <cell r="H103">
            <v>144.9</v>
          </cell>
          <cell r="I103">
            <v>16.8</v>
          </cell>
          <cell r="J103">
            <v>19.8</v>
          </cell>
          <cell r="K103">
            <v>163.19999999999999</v>
          </cell>
          <cell r="L103">
            <v>145.69999999999999</v>
          </cell>
          <cell r="M103">
            <v>17.5</v>
          </cell>
          <cell r="N103">
            <v>18.399999999999999</v>
          </cell>
          <cell r="O103">
            <v>145.1</v>
          </cell>
          <cell r="P103">
            <v>136.69999999999999</v>
          </cell>
          <cell r="Q103">
            <v>8.4</v>
          </cell>
        </row>
        <row r="104">
          <cell r="C104" t="str">
            <v>プラスチック製品</v>
          </cell>
          <cell r="F104">
            <v>20.3</v>
          </cell>
          <cell r="G104">
            <v>154.30000000000001</v>
          </cell>
          <cell r="H104">
            <v>143.4</v>
          </cell>
          <cell r="I104">
            <v>10.9</v>
          </cell>
          <cell r="J104">
            <v>20.2</v>
          </cell>
          <cell r="K104">
            <v>161</v>
          </cell>
          <cell r="L104">
            <v>146.80000000000001</v>
          </cell>
          <cell r="M104">
            <v>14.2</v>
          </cell>
          <cell r="N104">
            <v>20.7</v>
          </cell>
          <cell r="O104">
            <v>135.5</v>
          </cell>
          <cell r="P104">
            <v>133.80000000000001</v>
          </cell>
          <cell r="Q104">
            <v>1.7</v>
          </cell>
        </row>
        <row r="105">
          <cell r="C105" t="str">
            <v>ゴム製品</v>
          </cell>
          <cell r="F105">
            <v>20.3</v>
          </cell>
          <cell r="G105">
            <v>170.1</v>
          </cell>
          <cell r="H105">
            <v>149.5</v>
          </cell>
          <cell r="I105">
            <v>20.6</v>
          </cell>
          <cell r="J105">
            <v>20.399999999999999</v>
          </cell>
          <cell r="K105">
            <v>171.5</v>
          </cell>
          <cell r="L105">
            <v>149.1</v>
          </cell>
          <cell r="M105">
            <v>22.4</v>
          </cell>
          <cell r="N105">
            <v>19.7</v>
          </cell>
          <cell r="O105">
            <v>160.80000000000001</v>
          </cell>
          <cell r="P105">
            <v>151.6</v>
          </cell>
          <cell r="Q105">
            <v>9.1999999999999993</v>
          </cell>
        </row>
        <row r="106">
          <cell r="C106" t="str">
            <v>窯業・土石製品</v>
          </cell>
          <cell r="F106">
            <v>19.8</v>
          </cell>
          <cell r="G106">
            <v>168</v>
          </cell>
          <cell r="H106">
            <v>155.6</v>
          </cell>
          <cell r="I106">
            <v>12.4</v>
          </cell>
          <cell r="J106">
            <v>19.7</v>
          </cell>
          <cell r="K106">
            <v>170.4</v>
          </cell>
          <cell r="L106">
            <v>156.19999999999999</v>
          </cell>
          <cell r="M106">
            <v>14.2</v>
          </cell>
          <cell r="N106">
            <v>19.899999999999999</v>
          </cell>
          <cell r="O106">
            <v>158.80000000000001</v>
          </cell>
          <cell r="P106">
            <v>153.30000000000001</v>
          </cell>
          <cell r="Q106">
            <v>5.5</v>
          </cell>
        </row>
        <row r="107">
          <cell r="C107" t="str">
            <v>鉄鋼業</v>
          </cell>
          <cell r="F107" t="str">
            <v>#19.5</v>
          </cell>
          <cell r="G107" t="str">
            <v>#176.7</v>
          </cell>
          <cell r="H107" t="str">
            <v>#152.6</v>
          </cell>
          <cell r="I107" t="str">
            <v>#24.1</v>
          </cell>
          <cell r="J107" t="str">
            <v>#19.5</v>
          </cell>
          <cell r="K107" t="str">
            <v>#177.4</v>
          </cell>
          <cell r="L107" t="str">
            <v>#152.5</v>
          </cell>
          <cell r="M107" t="str">
            <v>#24.9</v>
          </cell>
          <cell r="N107" t="str">
            <v>#19.4</v>
          </cell>
          <cell r="O107" t="str">
            <v>#167.8</v>
          </cell>
          <cell r="P107" t="str">
            <v>#153.7</v>
          </cell>
          <cell r="Q107" t="str">
            <v>#14.1</v>
          </cell>
        </row>
        <row r="108">
          <cell r="C108" t="str">
            <v>非鉄金属製造業</v>
          </cell>
          <cell r="F108" t="str">
            <v>#19.3</v>
          </cell>
          <cell r="G108" t="str">
            <v>#158.9</v>
          </cell>
          <cell r="H108" t="str">
            <v>#151</v>
          </cell>
          <cell r="I108" t="str">
            <v>#7.9</v>
          </cell>
          <cell r="J108" t="str">
            <v>#19.4</v>
          </cell>
          <cell r="K108" t="str">
            <v>#163.1</v>
          </cell>
          <cell r="L108" t="str">
            <v>#152.8</v>
          </cell>
          <cell r="M108" t="str">
            <v>#10.3</v>
          </cell>
          <cell r="N108" t="str">
            <v>#19.1</v>
          </cell>
          <cell r="O108" t="str">
            <v>#151.1</v>
          </cell>
          <cell r="P108" t="str">
            <v>#147.6</v>
          </cell>
          <cell r="Q108" t="str">
            <v>#3.5</v>
          </cell>
        </row>
        <row r="109">
          <cell r="C109" t="str">
            <v>金属製品製造業</v>
          </cell>
          <cell r="F109">
            <v>21.1</v>
          </cell>
          <cell r="G109">
            <v>169.2</v>
          </cell>
          <cell r="H109">
            <v>157</v>
          </cell>
          <cell r="I109">
            <v>12.2</v>
          </cell>
          <cell r="J109">
            <v>21.2</v>
          </cell>
          <cell r="K109">
            <v>179.5</v>
          </cell>
          <cell r="L109">
            <v>163.5</v>
          </cell>
          <cell r="M109">
            <v>16</v>
          </cell>
          <cell r="N109">
            <v>20.9</v>
          </cell>
          <cell r="O109">
            <v>152.30000000000001</v>
          </cell>
          <cell r="P109">
            <v>146.30000000000001</v>
          </cell>
          <cell r="Q109">
            <v>6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18.899999999999999</v>
          </cell>
          <cell r="G112">
            <v>157.69999999999999</v>
          </cell>
          <cell r="H112">
            <v>147.6</v>
          </cell>
          <cell r="I112">
            <v>10.1</v>
          </cell>
          <cell r="J112">
            <v>19.2</v>
          </cell>
          <cell r="K112">
            <v>160.80000000000001</v>
          </cell>
          <cell r="L112">
            <v>148.5</v>
          </cell>
          <cell r="M112">
            <v>12.3</v>
          </cell>
          <cell r="N112">
            <v>18.5</v>
          </cell>
          <cell r="O112">
            <v>154.80000000000001</v>
          </cell>
          <cell r="P112">
            <v>146.69999999999999</v>
          </cell>
          <cell r="Q112">
            <v>8.1</v>
          </cell>
        </row>
        <row r="113">
          <cell r="C113" t="str">
            <v>電子・デバイス</v>
          </cell>
          <cell r="F113">
            <v>18.7</v>
          </cell>
          <cell r="G113">
            <v>157.4</v>
          </cell>
          <cell r="H113">
            <v>145.5</v>
          </cell>
          <cell r="I113">
            <v>11.9</v>
          </cell>
          <cell r="J113">
            <v>18.8</v>
          </cell>
          <cell r="K113">
            <v>164.5</v>
          </cell>
          <cell r="L113">
            <v>149.6</v>
          </cell>
          <cell r="M113">
            <v>14.9</v>
          </cell>
          <cell r="N113">
            <v>18.399999999999999</v>
          </cell>
          <cell r="O113">
            <v>143.69999999999999</v>
          </cell>
          <cell r="P113">
            <v>137.5</v>
          </cell>
          <cell r="Q113">
            <v>6.2</v>
          </cell>
        </row>
        <row r="114">
          <cell r="C114" t="str">
            <v>電気機械器具</v>
          </cell>
          <cell r="F114">
            <v>20.399999999999999</v>
          </cell>
          <cell r="G114">
            <v>169.2</v>
          </cell>
          <cell r="H114">
            <v>157.19999999999999</v>
          </cell>
          <cell r="I114">
            <v>12</v>
          </cell>
          <cell r="J114">
            <v>20.9</v>
          </cell>
          <cell r="K114">
            <v>175.8</v>
          </cell>
          <cell r="L114">
            <v>160.5</v>
          </cell>
          <cell r="M114">
            <v>15.3</v>
          </cell>
          <cell r="N114">
            <v>19.399999999999999</v>
          </cell>
          <cell r="O114">
            <v>151.80000000000001</v>
          </cell>
          <cell r="P114">
            <v>148.4</v>
          </cell>
          <cell r="Q114">
            <v>3.4</v>
          </cell>
        </row>
        <row r="115">
          <cell r="C115" t="str">
            <v>情報通信機械器具</v>
          </cell>
          <cell r="F115" t="str">
            <v>#19.6</v>
          </cell>
          <cell r="G115" t="str">
            <v>#163.3</v>
          </cell>
          <cell r="H115" t="str">
            <v>#154</v>
          </cell>
          <cell r="I115" t="str">
            <v>#9.3</v>
          </cell>
          <cell r="J115" t="str">
            <v>#19.9</v>
          </cell>
          <cell r="K115" t="str">
            <v>#170.3</v>
          </cell>
          <cell r="L115" t="str">
            <v>#158</v>
          </cell>
          <cell r="M115" t="str">
            <v>#12.3</v>
          </cell>
          <cell r="N115" t="str">
            <v>#19.3</v>
          </cell>
          <cell r="O115" t="str">
            <v>#156.2</v>
          </cell>
          <cell r="P115" t="str">
            <v>#150</v>
          </cell>
          <cell r="Q115" t="str">
            <v>#6.2</v>
          </cell>
        </row>
        <row r="116">
          <cell r="C116" t="str">
            <v>輸送用機械器具</v>
          </cell>
          <cell r="F116">
            <v>19.600000000000001</v>
          </cell>
          <cell r="G116">
            <v>182.6</v>
          </cell>
          <cell r="H116">
            <v>158</v>
          </cell>
          <cell r="I116">
            <v>24.6</v>
          </cell>
          <cell r="J116">
            <v>19.8</v>
          </cell>
          <cell r="K116">
            <v>188.7</v>
          </cell>
          <cell r="L116">
            <v>161.69999999999999</v>
          </cell>
          <cell r="M116">
            <v>27</v>
          </cell>
          <cell r="N116">
            <v>19</v>
          </cell>
          <cell r="O116">
            <v>159.69999999999999</v>
          </cell>
          <cell r="P116">
            <v>144.19999999999999</v>
          </cell>
          <cell r="Q116">
            <v>15.5</v>
          </cell>
        </row>
        <row r="117">
          <cell r="C117" t="str">
            <v>その他の製造業</v>
          </cell>
          <cell r="F117">
            <v>20.6</v>
          </cell>
          <cell r="G117">
            <v>172.3</v>
          </cell>
          <cell r="H117">
            <v>154.6</v>
          </cell>
          <cell r="I117">
            <v>17.7</v>
          </cell>
          <cell r="J117">
            <v>21.1</v>
          </cell>
          <cell r="K117">
            <v>183.1</v>
          </cell>
          <cell r="L117">
            <v>160.80000000000001</v>
          </cell>
          <cell r="M117">
            <v>22.3</v>
          </cell>
          <cell r="N117">
            <v>18.5</v>
          </cell>
          <cell r="O117">
            <v>133.80000000000001</v>
          </cell>
          <cell r="P117">
            <v>132.4</v>
          </cell>
          <cell r="Q117">
            <v>1.4</v>
          </cell>
        </row>
        <row r="118">
          <cell r="C118" t="str">
            <v>Ｅ一括分１</v>
          </cell>
          <cell r="F118">
            <v>20.8</v>
          </cell>
          <cell r="G118">
            <v>183.4</v>
          </cell>
          <cell r="H118">
            <v>155.80000000000001</v>
          </cell>
          <cell r="I118">
            <v>27.6</v>
          </cell>
          <cell r="J118">
            <v>21.6</v>
          </cell>
          <cell r="K118">
            <v>196</v>
          </cell>
          <cell r="L118">
            <v>158.69999999999999</v>
          </cell>
          <cell r="M118">
            <v>37.299999999999997</v>
          </cell>
          <cell r="N118">
            <v>18.899999999999999</v>
          </cell>
          <cell r="O118">
            <v>154.80000000000001</v>
          </cell>
          <cell r="P118">
            <v>149.1</v>
          </cell>
          <cell r="Q118">
            <v>5.7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20.2</v>
          </cell>
          <cell r="G121">
            <v>166</v>
          </cell>
          <cell r="H121">
            <v>154.9</v>
          </cell>
          <cell r="I121">
            <v>11.1</v>
          </cell>
          <cell r="J121">
            <v>20.3</v>
          </cell>
          <cell r="K121">
            <v>172.5</v>
          </cell>
          <cell r="L121">
            <v>159.19999999999999</v>
          </cell>
          <cell r="M121">
            <v>13.3</v>
          </cell>
          <cell r="N121">
            <v>19.600000000000001</v>
          </cell>
          <cell r="O121">
            <v>144</v>
          </cell>
          <cell r="P121">
            <v>140.5</v>
          </cell>
          <cell r="Q121">
            <v>3.5</v>
          </cell>
        </row>
        <row r="122">
          <cell r="C122" t="str">
            <v>小売業</v>
          </cell>
          <cell r="F122">
            <v>17.2</v>
          </cell>
          <cell r="G122">
            <v>120.5</v>
          </cell>
          <cell r="H122">
            <v>113.8</v>
          </cell>
          <cell r="I122">
            <v>6.7</v>
          </cell>
          <cell r="J122">
            <v>17.8</v>
          </cell>
          <cell r="K122">
            <v>141.1</v>
          </cell>
          <cell r="L122">
            <v>129.30000000000001</v>
          </cell>
          <cell r="M122">
            <v>11.8</v>
          </cell>
          <cell r="N122">
            <v>16.8</v>
          </cell>
          <cell r="O122">
            <v>105.7</v>
          </cell>
          <cell r="P122">
            <v>102.6</v>
          </cell>
          <cell r="Q122">
            <v>3.1</v>
          </cell>
        </row>
        <row r="123">
          <cell r="C123" t="str">
            <v>宿泊業</v>
          </cell>
          <cell r="F123">
            <v>18.600000000000001</v>
          </cell>
          <cell r="G123">
            <v>119.8</v>
          </cell>
          <cell r="H123">
            <v>112.5</v>
          </cell>
          <cell r="I123">
            <v>7.3</v>
          </cell>
          <cell r="J123">
            <v>19.3</v>
          </cell>
          <cell r="K123">
            <v>138.9</v>
          </cell>
          <cell r="L123">
            <v>126.8</v>
          </cell>
          <cell r="M123">
            <v>12.1</v>
          </cell>
          <cell r="N123">
            <v>18.2</v>
          </cell>
          <cell r="O123">
            <v>109.3</v>
          </cell>
          <cell r="P123">
            <v>104.7</v>
          </cell>
          <cell r="Q123">
            <v>4.5999999999999996</v>
          </cell>
        </row>
        <row r="124">
          <cell r="C124" t="str">
            <v>Ｍ一括分</v>
          </cell>
          <cell r="F124">
            <v>12.6</v>
          </cell>
          <cell r="G124">
            <v>69.099999999999994</v>
          </cell>
          <cell r="H124">
            <v>66.900000000000006</v>
          </cell>
          <cell r="I124">
            <v>2.2000000000000002</v>
          </cell>
          <cell r="J124">
            <v>14.3</v>
          </cell>
          <cell r="K124">
            <v>82.1</v>
          </cell>
          <cell r="L124">
            <v>76.900000000000006</v>
          </cell>
          <cell r="M124">
            <v>5.2</v>
          </cell>
          <cell r="N124">
            <v>11.7</v>
          </cell>
          <cell r="O124">
            <v>62.1</v>
          </cell>
          <cell r="P124">
            <v>61.5</v>
          </cell>
          <cell r="Q124">
            <v>0.6</v>
          </cell>
        </row>
        <row r="125">
          <cell r="C125" t="str">
            <v>医療業</v>
          </cell>
          <cell r="F125">
            <v>19.600000000000001</v>
          </cell>
          <cell r="G125">
            <v>146.30000000000001</v>
          </cell>
          <cell r="H125">
            <v>141.5</v>
          </cell>
          <cell r="I125">
            <v>4.8</v>
          </cell>
          <cell r="J125">
            <v>19.399999999999999</v>
          </cell>
          <cell r="K125">
            <v>153.6</v>
          </cell>
          <cell r="L125">
            <v>148.30000000000001</v>
          </cell>
          <cell r="M125">
            <v>5.3</v>
          </cell>
          <cell r="N125">
            <v>19.600000000000001</v>
          </cell>
          <cell r="O125">
            <v>144.19999999999999</v>
          </cell>
          <cell r="P125">
            <v>139.6</v>
          </cell>
          <cell r="Q125">
            <v>4.5999999999999996</v>
          </cell>
        </row>
        <row r="126">
          <cell r="C126" t="str">
            <v>Ｐ一括分</v>
          </cell>
          <cell r="F126">
            <v>18.2</v>
          </cell>
          <cell r="G126">
            <v>136</v>
          </cell>
          <cell r="H126">
            <v>133.1</v>
          </cell>
          <cell r="I126">
            <v>2.9</v>
          </cell>
          <cell r="J126">
            <v>19.100000000000001</v>
          </cell>
          <cell r="K126">
            <v>144.1</v>
          </cell>
          <cell r="L126">
            <v>141.6</v>
          </cell>
          <cell r="M126">
            <v>2.5</v>
          </cell>
          <cell r="N126">
            <v>17.899999999999999</v>
          </cell>
          <cell r="O126">
            <v>132.80000000000001</v>
          </cell>
          <cell r="P126">
            <v>129.80000000000001</v>
          </cell>
          <cell r="Q126">
            <v>3</v>
          </cell>
        </row>
        <row r="127">
          <cell r="C127" t="str">
            <v>職業紹介・派遣業</v>
          </cell>
          <cell r="F127">
            <v>18.5</v>
          </cell>
          <cell r="G127">
            <v>146.19999999999999</v>
          </cell>
          <cell r="H127">
            <v>138.1</v>
          </cell>
          <cell r="I127">
            <v>8.1</v>
          </cell>
          <cell r="J127">
            <v>19</v>
          </cell>
          <cell r="K127">
            <v>161.69999999999999</v>
          </cell>
          <cell r="L127">
            <v>149</v>
          </cell>
          <cell r="M127">
            <v>12.7</v>
          </cell>
          <cell r="N127">
            <v>18.100000000000001</v>
          </cell>
          <cell r="O127">
            <v>134.30000000000001</v>
          </cell>
          <cell r="P127">
            <v>129.80000000000001</v>
          </cell>
          <cell r="Q127">
            <v>4.5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19.2</v>
          </cell>
          <cell r="G129">
            <v>142.6</v>
          </cell>
          <cell r="H129">
            <v>134.5</v>
          </cell>
          <cell r="I129">
            <v>8.1</v>
          </cell>
          <cell r="J129">
            <v>19.8</v>
          </cell>
          <cell r="K129">
            <v>156.30000000000001</v>
          </cell>
          <cell r="L129">
            <v>145</v>
          </cell>
          <cell r="M129">
            <v>11.3</v>
          </cell>
          <cell r="N129">
            <v>18.399999999999999</v>
          </cell>
          <cell r="O129">
            <v>125.4</v>
          </cell>
          <cell r="P129">
            <v>121.3</v>
          </cell>
          <cell r="Q129">
            <v>4.0999999999999996</v>
          </cell>
        </row>
        <row r="130">
          <cell r="C130" t="str">
            <v>特掲産業１</v>
          </cell>
          <cell r="F130">
            <v>17.8</v>
          </cell>
          <cell r="G130">
            <v>139.4</v>
          </cell>
          <cell r="H130">
            <v>131.6</v>
          </cell>
          <cell r="I130">
            <v>7.8</v>
          </cell>
          <cell r="J130">
            <v>17.899999999999999</v>
          </cell>
          <cell r="K130">
            <v>138.1</v>
          </cell>
          <cell r="L130">
            <v>131.9</v>
          </cell>
          <cell r="M130">
            <v>6.2</v>
          </cell>
          <cell r="N130">
            <v>17.8</v>
          </cell>
          <cell r="O130">
            <v>143.30000000000001</v>
          </cell>
          <cell r="P130">
            <v>130.6</v>
          </cell>
          <cell r="Q130">
            <v>12.7</v>
          </cell>
        </row>
        <row r="131">
          <cell r="C131" t="str">
            <v>特掲産業２</v>
          </cell>
          <cell r="F131">
            <v>21.3</v>
          </cell>
          <cell r="G131">
            <v>171.6</v>
          </cell>
          <cell r="H131">
            <v>159.19999999999999</v>
          </cell>
          <cell r="I131">
            <v>12.4</v>
          </cell>
          <cell r="J131">
            <v>21.7</v>
          </cell>
          <cell r="K131">
            <v>179.5</v>
          </cell>
          <cell r="L131">
            <v>163.4</v>
          </cell>
          <cell r="M131">
            <v>16.100000000000001</v>
          </cell>
          <cell r="N131">
            <v>19.899999999999999</v>
          </cell>
          <cell r="O131">
            <v>147.4</v>
          </cell>
          <cell r="P131">
            <v>146.19999999999999</v>
          </cell>
          <cell r="Q131">
            <v>1.2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3.8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>
        <row r="9">
          <cell r="E9">
            <v>237613</v>
          </cell>
        </row>
      </sheetData>
      <sheetData sheetId="17">
        <row r="9">
          <cell r="E9">
            <v>18.5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12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 t="str">
            <v>x</v>
          </cell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 t="str">
            <v>x</v>
          </cell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227904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18.600000000000001</v>
          </cell>
          <cell r="G10">
            <v>145.19999999999999</v>
          </cell>
          <cell r="H10">
            <v>134.69999999999999</v>
          </cell>
          <cell r="I10">
            <v>10.5</v>
          </cell>
          <cell r="J10">
            <v>19.2</v>
          </cell>
          <cell r="K10">
            <v>159.1</v>
          </cell>
          <cell r="L10">
            <v>144.1</v>
          </cell>
          <cell r="M10">
            <v>15</v>
          </cell>
          <cell r="N10">
            <v>18.100000000000001</v>
          </cell>
          <cell r="O10">
            <v>131.69999999999999</v>
          </cell>
          <cell r="P10">
            <v>125.6</v>
          </cell>
          <cell r="Q10">
            <v>6.1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21.2</v>
          </cell>
          <cell r="G12">
            <v>172.7</v>
          </cell>
          <cell r="H12">
            <v>159</v>
          </cell>
          <cell r="I12">
            <v>13.7</v>
          </cell>
          <cell r="J12">
            <v>21.4</v>
          </cell>
          <cell r="K12">
            <v>174.8</v>
          </cell>
          <cell r="L12">
            <v>159.1</v>
          </cell>
          <cell r="M12">
            <v>15.7</v>
          </cell>
          <cell r="N12">
            <v>20.6</v>
          </cell>
          <cell r="O12">
            <v>163.69999999999999</v>
          </cell>
          <cell r="P12">
            <v>158.9</v>
          </cell>
          <cell r="Q12">
            <v>4.8</v>
          </cell>
        </row>
        <row r="13">
          <cell r="C13" t="str">
            <v>製造業</v>
          </cell>
          <cell r="F13">
            <v>19.8</v>
          </cell>
          <cell r="G13">
            <v>163.1</v>
          </cell>
          <cell r="H13">
            <v>149.6</v>
          </cell>
          <cell r="I13">
            <v>13.5</v>
          </cell>
          <cell r="J13">
            <v>19.899999999999999</v>
          </cell>
          <cell r="K13">
            <v>169.6</v>
          </cell>
          <cell r="L13">
            <v>153</v>
          </cell>
          <cell r="M13">
            <v>16.600000000000001</v>
          </cell>
          <cell r="N13">
            <v>19.7</v>
          </cell>
          <cell r="O13">
            <v>152.4</v>
          </cell>
          <cell r="P13">
            <v>143.9</v>
          </cell>
          <cell r="Q13">
            <v>8.5</v>
          </cell>
        </row>
        <row r="14">
          <cell r="C14" t="str">
            <v>電気・ガス・熱供給・水道業</v>
          </cell>
          <cell r="F14">
            <v>17.7</v>
          </cell>
          <cell r="G14">
            <v>150.5</v>
          </cell>
          <cell r="H14">
            <v>138.4</v>
          </cell>
          <cell r="I14">
            <v>12.1</v>
          </cell>
          <cell r="J14">
            <v>17.8</v>
          </cell>
          <cell r="K14">
            <v>154.19999999999999</v>
          </cell>
          <cell r="L14">
            <v>140.80000000000001</v>
          </cell>
          <cell r="M14">
            <v>13.4</v>
          </cell>
          <cell r="N14">
            <v>17.3</v>
          </cell>
          <cell r="O14">
            <v>125.4</v>
          </cell>
          <cell r="P14">
            <v>121.7</v>
          </cell>
          <cell r="Q14">
            <v>3.7</v>
          </cell>
        </row>
        <row r="15">
          <cell r="C15" t="str">
            <v>情報通信業</v>
          </cell>
          <cell r="F15">
            <v>19</v>
          </cell>
          <cell r="G15">
            <v>154.69999999999999</v>
          </cell>
          <cell r="H15">
            <v>142</v>
          </cell>
          <cell r="I15">
            <v>12.7</v>
          </cell>
          <cell r="J15">
            <v>19.100000000000001</v>
          </cell>
          <cell r="K15">
            <v>156.5</v>
          </cell>
          <cell r="L15">
            <v>143.80000000000001</v>
          </cell>
          <cell r="M15">
            <v>12.7</v>
          </cell>
          <cell r="N15">
            <v>18.7</v>
          </cell>
          <cell r="O15">
            <v>150.9</v>
          </cell>
          <cell r="P15">
            <v>138.19999999999999</v>
          </cell>
          <cell r="Q15">
            <v>12.7</v>
          </cell>
        </row>
        <row r="16">
          <cell r="C16" t="str">
            <v>運輸業，郵便業</v>
          </cell>
          <cell r="F16">
            <v>21</v>
          </cell>
          <cell r="G16">
            <v>185.5</v>
          </cell>
          <cell r="H16">
            <v>158.6</v>
          </cell>
          <cell r="I16">
            <v>26.9</v>
          </cell>
          <cell r="J16">
            <v>21.2</v>
          </cell>
          <cell r="K16">
            <v>192.1</v>
          </cell>
          <cell r="L16">
            <v>161.6</v>
          </cell>
          <cell r="M16">
            <v>30.5</v>
          </cell>
          <cell r="N16">
            <v>19.899999999999999</v>
          </cell>
          <cell r="O16">
            <v>149</v>
          </cell>
          <cell r="P16">
            <v>141.9</v>
          </cell>
          <cell r="Q16">
            <v>7.1</v>
          </cell>
        </row>
        <row r="17">
          <cell r="C17" t="str">
            <v>卸売業，小売業</v>
          </cell>
          <cell r="F17">
            <v>17.899999999999999</v>
          </cell>
          <cell r="G17">
            <v>125.4</v>
          </cell>
          <cell r="H17">
            <v>118.5</v>
          </cell>
          <cell r="I17">
            <v>6.9</v>
          </cell>
          <cell r="J17">
            <v>19.100000000000001</v>
          </cell>
          <cell r="K17">
            <v>150.5</v>
          </cell>
          <cell r="L17">
            <v>138.9</v>
          </cell>
          <cell r="M17">
            <v>11.6</v>
          </cell>
          <cell r="N17">
            <v>17.100000000000001</v>
          </cell>
          <cell r="O17">
            <v>108.7</v>
          </cell>
          <cell r="P17">
            <v>104.9</v>
          </cell>
          <cell r="Q17">
            <v>3.8</v>
          </cell>
        </row>
        <row r="18">
          <cell r="C18" t="str">
            <v>金融業，保険業</v>
          </cell>
          <cell r="F18">
            <v>18.100000000000001</v>
          </cell>
          <cell r="G18">
            <v>131</v>
          </cell>
          <cell r="H18">
            <v>127.2</v>
          </cell>
          <cell r="I18">
            <v>3.8</v>
          </cell>
          <cell r="J18">
            <v>18.100000000000001</v>
          </cell>
          <cell r="K18">
            <v>132.5</v>
          </cell>
          <cell r="L18">
            <v>130.4</v>
          </cell>
          <cell r="M18">
            <v>2.1</v>
          </cell>
          <cell r="N18">
            <v>18.2</v>
          </cell>
          <cell r="O18">
            <v>129.9</v>
          </cell>
          <cell r="P18">
            <v>124.7</v>
          </cell>
          <cell r="Q18">
            <v>5.2</v>
          </cell>
        </row>
        <row r="19">
          <cell r="C19" t="str">
            <v>不動産業，物品賃貸業</v>
          </cell>
          <cell r="F19">
            <v>18.399999999999999</v>
          </cell>
          <cell r="G19">
            <v>138.9</v>
          </cell>
          <cell r="H19">
            <v>135.5</v>
          </cell>
          <cell r="I19">
            <v>3.4</v>
          </cell>
          <cell r="J19">
            <v>18.8</v>
          </cell>
          <cell r="K19">
            <v>151.6</v>
          </cell>
          <cell r="L19">
            <v>146.4</v>
          </cell>
          <cell r="M19">
            <v>5.2</v>
          </cell>
          <cell r="N19">
            <v>17.7</v>
          </cell>
          <cell r="O19">
            <v>118.3</v>
          </cell>
          <cell r="P19">
            <v>117.8</v>
          </cell>
          <cell r="Q19">
            <v>0.5</v>
          </cell>
        </row>
        <row r="20">
          <cell r="C20" t="str">
            <v>学術研究，専門・技術サービス業</v>
          </cell>
          <cell r="F20">
            <v>18.7</v>
          </cell>
          <cell r="G20">
            <v>158.30000000000001</v>
          </cell>
          <cell r="H20">
            <v>143.19999999999999</v>
          </cell>
          <cell r="I20">
            <v>15.1</v>
          </cell>
          <cell r="J20">
            <v>18.8</v>
          </cell>
          <cell r="K20">
            <v>160.69999999999999</v>
          </cell>
          <cell r="L20">
            <v>144.30000000000001</v>
          </cell>
          <cell r="M20">
            <v>16.399999999999999</v>
          </cell>
          <cell r="N20">
            <v>18.5</v>
          </cell>
          <cell r="O20">
            <v>149.19999999999999</v>
          </cell>
          <cell r="P20">
            <v>139.30000000000001</v>
          </cell>
          <cell r="Q20">
            <v>9.9</v>
          </cell>
        </row>
        <row r="21">
          <cell r="C21" t="str">
            <v>宿泊業，飲食サービス業</v>
          </cell>
          <cell r="F21">
            <v>14.8</v>
          </cell>
          <cell r="G21">
            <v>90.9</v>
          </cell>
          <cell r="H21">
            <v>86.1</v>
          </cell>
          <cell r="I21">
            <v>4.8</v>
          </cell>
          <cell r="J21">
            <v>15.1</v>
          </cell>
          <cell r="K21">
            <v>100.8</v>
          </cell>
          <cell r="L21">
            <v>93.8</v>
          </cell>
          <cell r="M21">
            <v>7</v>
          </cell>
          <cell r="N21">
            <v>14.6</v>
          </cell>
          <cell r="O21">
            <v>84.9</v>
          </cell>
          <cell r="P21">
            <v>81.400000000000006</v>
          </cell>
          <cell r="Q21">
            <v>3.5</v>
          </cell>
        </row>
        <row r="22">
          <cell r="C22" t="str">
            <v>生活関連サービス業，娯楽業</v>
          </cell>
          <cell r="F22" t="str">
            <v>#15.1</v>
          </cell>
          <cell r="G22" t="str">
            <v>#119.2</v>
          </cell>
          <cell r="H22" t="str">
            <v>#114.1</v>
          </cell>
          <cell r="I22" t="str">
            <v>#5.1</v>
          </cell>
          <cell r="J22" t="str">
            <v>#15</v>
          </cell>
          <cell r="K22" t="str">
            <v>#121.9</v>
          </cell>
          <cell r="L22" t="str">
            <v>#116.2</v>
          </cell>
          <cell r="M22" t="str">
            <v>#5.7</v>
          </cell>
          <cell r="N22" t="str">
            <v>#15.4</v>
          </cell>
          <cell r="O22" t="str">
            <v>#113.4</v>
          </cell>
          <cell r="P22" t="str">
            <v>#109.5</v>
          </cell>
          <cell r="Q22" t="str">
            <v>#3.9</v>
          </cell>
        </row>
        <row r="23">
          <cell r="C23" t="str">
            <v>教育，学習支援業</v>
          </cell>
          <cell r="F23">
            <v>16.899999999999999</v>
          </cell>
          <cell r="G23">
            <v>146.1</v>
          </cell>
          <cell r="H23">
            <v>123</v>
          </cell>
          <cell r="I23">
            <v>23.1</v>
          </cell>
          <cell r="J23">
            <v>17.600000000000001</v>
          </cell>
          <cell r="K23">
            <v>158</v>
          </cell>
          <cell r="L23">
            <v>129.80000000000001</v>
          </cell>
          <cell r="M23">
            <v>28.2</v>
          </cell>
          <cell r="N23">
            <v>16.399999999999999</v>
          </cell>
          <cell r="O23">
            <v>134.9</v>
          </cell>
          <cell r="P23">
            <v>116.7</v>
          </cell>
          <cell r="Q23">
            <v>18.2</v>
          </cell>
        </row>
        <row r="24">
          <cell r="C24" t="str">
            <v>医療，福祉</v>
          </cell>
          <cell r="F24">
            <v>18.8</v>
          </cell>
          <cell r="G24">
            <v>141.30000000000001</v>
          </cell>
          <cell r="H24">
            <v>137.1</v>
          </cell>
          <cell r="I24">
            <v>4.2</v>
          </cell>
          <cell r="J24">
            <v>19.2</v>
          </cell>
          <cell r="K24">
            <v>149.19999999999999</v>
          </cell>
          <cell r="L24">
            <v>143.9</v>
          </cell>
          <cell r="M24">
            <v>5.3</v>
          </cell>
          <cell r="N24">
            <v>18.600000000000001</v>
          </cell>
          <cell r="O24">
            <v>138.4</v>
          </cell>
          <cell r="P24">
            <v>134.6</v>
          </cell>
          <cell r="Q24">
            <v>3.8</v>
          </cell>
        </row>
        <row r="25">
          <cell r="C25" t="str">
            <v>複合サービス事業</v>
          </cell>
          <cell r="F25">
            <v>19.8</v>
          </cell>
          <cell r="G25">
            <v>156.19999999999999</v>
          </cell>
          <cell r="H25">
            <v>151.9</v>
          </cell>
          <cell r="I25">
            <v>4.3</v>
          </cell>
          <cell r="J25">
            <v>20.2</v>
          </cell>
          <cell r="K25">
            <v>163.80000000000001</v>
          </cell>
          <cell r="L25">
            <v>158.4</v>
          </cell>
          <cell r="M25">
            <v>5.4</v>
          </cell>
          <cell r="N25">
            <v>19.100000000000001</v>
          </cell>
          <cell r="O25">
            <v>144.5</v>
          </cell>
          <cell r="P25">
            <v>141.9</v>
          </cell>
          <cell r="Q25">
            <v>2.6</v>
          </cell>
        </row>
        <row r="26">
          <cell r="C26" t="str">
            <v>サービス業（他に分類されないもの）</v>
          </cell>
          <cell r="F26">
            <v>18.100000000000001</v>
          </cell>
          <cell r="G26">
            <v>137.1</v>
          </cell>
          <cell r="H26">
            <v>128.6</v>
          </cell>
          <cell r="I26">
            <v>8.5</v>
          </cell>
          <cell r="J26">
            <v>18.5</v>
          </cell>
          <cell r="K26">
            <v>150.9</v>
          </cell>
          <cell r="L26">
            <v>139</v>
          </cell>
          <cell r="M26">
            <v>11.9</v>
          </cell>
          <cell r="N26">
            <v>17.8</v>
          </cell>
          <cell r="O26">
            <v>121.8</v>
          </cell>
          <cell r="P26">
            <v>117.1</v>
          </cell>
          <cell r="Q26">
            <v>4.7</v>
          </cell>
        </row>
        <row r="27">
          <cell r="C27" t="str">
            <v>食料品・たばこ</v>
          </cell>
          <cell r="F27">
            <v>20.3</v>
          </cell>
          <cell r="G27">
            <v>164.2</v>
          </cell>
          <cell r="H27">
            <v>151.69999999999999</v>
          </cell>
          <cell r="I27">
            <v>12.5</v>
          </cell>
          <cell r="J27">
            <v>20.7</v>
          </cell>
          <cell r="K27">
            <v>174.3</v>
          </cell>
          <cell r="L27">
            <v>158.5</v>
          </cell>
          <cell r="M27">
            <v>15.8</v>
          </cell>
          <cell r="N27">
            <v>20</v>
          </cell>
          <cell r="O27">
            <v>155.4</v>
          </cell>
          <cell r="P27">
            <v>145.80000000000001</v>
          </cell>
          <cell r="Q27">
            <v>9.6</v>
          </cell>
        </row>
        <row r="28">
          <cell r="C28" t="str">
            <v>繊維工業</v>
          </cell>
          <cell r="F28">
            <v>20.9</v>
          </cell>
          <cell r="G28">
            <v>163</v>
          </cell>
          <cell r="H28">
            <v>149.80000000000001</v>
          </cell>
          <cell r="I28">
            <v>13.2</v>
          </cell>
          <cell r="J28">
            <v>20.2</v>
          </cell>
          <cell r="K28">
            <v>165.7</v>
          </cell>
          <cell r="L28">
            <v>149.80000000000001</v>
          </cell>
          <cell r="M28">
            <v>15.9</v>
          </cell>
          <cell r="N28">
            <v>21.5</v>
          </cell>
          <cell r="O28">
            <v>160.4</v>
          </cell>
          <cell r="P28">
            <v>149.80000000000001</v>
          </cell>
          <cell r="Q28">
            <v>10.6</v>
          </cell>
        </row>
        <row r="29">
          <cell r="C29" t="str">
            <v>木材・木製品</v>
          </cell>
          <cell r="F29">
            <v>20.399999999999999</v>
          </cell>
          <cell r="G29">
            <v>165.2</v>
          </cell>
          <cell r="H29">
            <v>152.19999999999999</v>
          </cell>
          <cell r="I29">
            <v>13</v>
          </cell>
          <cell r="J29">
            <v>20.3</v>
          </cell>
          <cell r="K29">
            <v>171.7</v>
          </cell>
          <cell r="L29">
            <v>156.4</v>
          </cell>
          <cell r="M29">
            <v>15.3</v>
          </cell>
          <cell r="N29">
            <v>20.9</v>
          </cell>
          <cell r="O29">
            <v>139.6</v>
          </cell>
          <cell r="P29">
            <v>135.69999999999999</v>
          </cell>
          <cell r="Q29">
            <v>3.9</v>
          </cell>
        </row>
        <row r="30">
          <cell r="C30" t="str">
            <v>家具・装備品</v>
          </cell>
          <cell r="F30" t="str">
            <v>#19.8</v>
          </cell>
          <cell r="G30" t="str">
            <v>#149</v>
          </cell>
          <cell r="H30" t="str">
            <v>#149</v>
          </cell>
          <cell r="I30" t="str">
            <v>#0</v>
          </cell>
          <cell r="J30" t="str">
            <v>#20.1</v>
          </cell>
          <cell r="K30" t="str">
            <v>#156.3</v>
          </cell>
          <cell r="L30" t="str">
            <v>#156.3</v>
          </cell>
          <cell r="M30" t="str">
            <v>#0</v>
          </cell>
          <cell r="N30" t="str">
            <v>#19.2</v>
          </cell>
          <cell r="O30" t="str">
            <v>#130.1</v>
          </cell>
          <cell r="P30" t="str">
            <v>#130.1</v>
          </cell>
          <cell r="Q30" t="str">
            <v>#0</v>
          </cell>
        </row>
        <row r="31">
          <cell r="C31" t="str">
            <v>パルプ・紙</v>
          </cell>
          <cell r="F31" t="str">
            <v>#24.1</v>
          </cell>
          <cell r="G31" t="str">
            <v>#191.4</v>
          </cell>
          <cell r="H31" t="str">
            <v>#179.5</v>
          </cell>
          <cell r="I31" t="str">
            <v>#11.9</v>
          </cell>
          <cell r="J31" t="str">
            <v>#24.3</v>
          </cell>
          <cell r="K31" t="str">
            <v>#197.3</v>
          </cell>
          <cell r="L31" t="str">
            <v>#182.3</v>
          </cell>
          <cell r="M31" t="str">
            <v>#15</v>
          </cell>
          <cell r="N31" t="str">
            <v>#23.4</v>
          </cell>
          <cell r="O31" t="str">
            <v>#173.1</v>
          </cell>
          <cell r="P31" t="str">
            <v>#170.8</v>
          </cell>
          <cell r="Q31" t="str">
            <v>#2.3</v>
          </cell>
        </row>
        <row r="32">
          <cell r="C32" t="str">
            <v>印刷・同関連業</v>
          </cell>
          <cell r="F32" t="str">
            <v>#18.6</v>
          </cell>
          <cell r="G32" t="str">
            <v>#148</v>
          </cell>
          <cell r="H32" t="str">
            <v>#136.2</v>
          </cell>
          <cell r="I32" t="str">
            <v>#11.8</v>
          </cell>
          <cell r="J32" t="str">
            <v>#18.2</v>
          </cell>
          <cell r="K32" t="str">
            <v>#144.9</v>
          </cell>
          <cell r="L32" t="str">
            <v>#132.6</v>
          </cell>
          <cell r="M32" t="str">
            <v>#12.3</v>
          </cell>
          <cell r="N32" t="str">
            <v>#20.3</v>
          </cell>
          <cell r="O32" t="str">
            <v>#162.1</v>
          </cell>
          <cell r="P32" t="str">
            <v>#152.7</v>
          </cell>
          <cell r="Q32" t="str">
            <v>#9.4</v>
          </cell>
        </row>
        <row r="33">
          <cell r="C33" t="str">
            <v>化学、石油・石炭</v>
          </cell>
          <cell r="F33">
            <v>19.7</v>
          </cell>
          <cell r="G33">
            <v>164.5</v>
          </cell>
          <cell r="H33">
            <v>147.1</v>
          </cell>
          <cell r="I33">
            <v>17.399999999999999</v>
          </cell>
          <cell r="J33">
            <v>19.8</v>
          </cell>
          <cell r="K33">
            <v>166.2</v>
          </cell>
          <cell r="L33">
            <v>147.80000000000001</v>
          </cell>
          <cell r="M33">
            <v>18.399999999999999</v>
          </cell>
          <cell r="N33">
            <v>18.5</v>
          </cell>
          <cell r="O33">
            <v>143.30000000000001</v>
          </cell>
          <cell r="P33">
            <v>138.80000000000001</v>
          </cell>
          <cell r="Q33">
            <v>4.5</v>
          </cell>
        </row>
        <row r="34">
          <cell r="C34" t="str">
            <v>プラスチック製品</v>
          </cell>
          <cell r="F34">
            <v>20</v>
          </cell>
          <cell r="G34">
            <v>151.80000000000001</v>
          </cell>
          <cell r="H34">
            <v>141.80000000000001</v>
          </cell>
          <cell r="I34">
            <v>10</v>
          </cell>
          <cell r="J34">
            <v>20.100000000000001</v>
          </cell>
          <cell r="K34">
            <v>161.5</v>
          </cell>
          <cell r="L34">
            <v>147.9</v>
          </cell>
          <cell r="M34">
            <v>13.6</v>
          </cell>
          <cell r="N34">
            <v>20</v>
          </cell>
          <cell r="O34">
            <v>127.4</v>
          </cell>
          <cell r="P34">
            <v>126.4</v>
          </cell>
          <cell r="Q34">
            <v>1</v>
          </cell>
        </row>
        <row r="35">
          <cell r="C35" t="str">
            <v>ゴム製品</v>
          </cell>
          <cell r="F35">
            <v>19.2</v>
          </cell>
          <cell r="G35">
            <v>161.6</v>
          </cell>
          <cell r="H35">
            <v>142</v>
          </cell>
          <cell r="I35">
            <v>19.600000000000001</v>
          </cell>
          <cell r="J35">
            <v>19</v>
          </cell>
          <cell r="K35">
            <v>160.80000000000001</v>
          </cell>
          <cell r="L35">
            <v>139.9</v>
          </cell>
          <cell r="M35">
            <v>20.9</v>
          </cell>
          <cell r="N35">
            <v>20.399999999999999</v>
          </cell>
          <cell r="O35">
            <v>166.5</v>
          </cell>
          <cell r="P35">
            <v>154.4</v>
          </cell>
          <cell r="Q35">
            <v>12.1</v>
          </cell>
        </row>
        <row r="36">
          <cell r="C36" t="str">
            <v>窯業・土石製品</v>
          </cell>
          <cell r="F36">
            <v>20.5</v>
          </cell>
          <cell r="G36">
            <v>168.9</v>
          </cell>
          <cell r="H36">
            <v>155</v>
          </cell>
          <cell r="I36">
            <v>13.9</v>
          </cell>
          <cell r="J36">
            <v>20.7</v>
          </cell>
          <cell r="K36">
            <v>176.8</v>
          </cell>
          <cell r="L36">
            <v>159.80000000000001</v>
          </cell>
          <cell r="M36">
            <v>17</v>
          </cell>
          <cell r="N36">
            <v>19.8</v>
          </cell>
          <cell r="O36">
            <v>140.80000000000001</v>
          </cell>
          <cell r="P36">
            <v>137.9</v>
          </cell>
          <cell r="Q36">
            <v>2.9</v>
          </cell>
        </row>
        <row r="37">
          <cell r="C37" t="str">
            <v>鉄鋼業</v>
          </cell>
          <cell r="F37" t="str">
            <v>#18.3</v>
          </cell>
          <cell r="G37" t="str">
            <v>#169.7</v>
          </cell>
          <cell r="H37" t="str">
            <v>#143.5</v>
          </cell>
          <cell r="I37" t="str">
            <v>#26.2</v>
          </cell>
          <cell r="J37" t="str">
            <v>#18.4</v>
          </cell>
          <cell r="K37" t="str">
            <v>#170.6</v>
          </cell>
          <cell r="L37" t="str">
            <v>#144</v>
          </cell>
          <cell r="M37" t="str">
            <v>#26.6</v>
          </cell>
          <cell r="N37" t="str">
            <v>#17.2</v>
          </cell>
          <cell r="O37" t="str">
            <v>#159.3</v>
          </cell>
          <cell r="P37" t="str">
            <v>#137.7</v>
          </cell>
          <cell r="Q37" t="str">
            <v>#21.6</v>
          </cell>
        </row>
        <row r="38">
          <cell r="C38" t="str">
            <v>非鉄金属製造業</v>
          </cell>
          <cell r="F38" t="str">
            <v>#19.2</v>
          </cell>
          <cell r="G38" t="str">
            <v>#158.6</v>
          </cell>
          <cell r="H38" t="str">
            <v>#151.4</v>
          </cell>
          <cell r="I38" t="str">
            <v>#7.2</v>
          </cell>
          <cell r="J38" t="str">
            <v>#19.9</v>
          </cell>
          <cell r="K38" t="str">
            <v>#167.8</v>
          </cell>
          <cell r="L38" t="str">
            <v>#158.9</v>
          </cell>
          <cell r="M38" t="str">
            <v>#8.9</v>
          </cell>
          <cell r="N38" t="str">
            <v>#18.6</v>
          </cell>
          <cell r="O38" t="str">
            <v>#149.4</v>
          </cell>
          <cell r="P38" t="str">
            <v>#143.8</v>
          </cell>
          <cell r="Q38" t="str">
            <v>#5.6</v>
          </cell>
        </row>
        <row r="39">
          <cell r="C39" t="str">
            <v>金属製品製造業</v>
          </cell>
          <cell r="F39">
            <v>20.9</v>
          </cell>
          <cell r="G39">
            <v>172.2</v>
          </cell>
          <cell r="H39">
            <v>161.9</v>
          </cell>
          <cell r="I39">
            <v>10.3</v>
          </cell>
          <cell r="J39">
            <v>20.9</v>
          </cell>
          <cell r="K39">
            <v>174.7</v>
          </cell>
          <cell r="L39">
            <v>162.6</v>
          </cell>
          <cell r="M39">
            <v>12.1</v>
          </cell>
          <cell r="N39">
            <v>21</v>
          </cell>
          <cell r="O39">
            <v>163.80000000000001</v>
          </cell>
          <cell r="P39">
            <v>159.4</v>
          </cell>
          <cell r="Q39">
            <v>4.4000000000000004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19.8</v>
          </cell>
          <cell r="G42">
            <v>168.4</v>
          </cell>
          <cell r="H42">
            <v>157.6</v>
          </cell>
          <cell r="I42">
            <v>10.8</v>
          </cell>
          <cell r="J42">
            <v>21.5</v>
          </cell>
          <cell r="K42">
            <v>182.8</v>
          </cell>
          <cell r="L42">
            <v>169.6</v>
          </cell>
          <cell r="M42">
            <v>13.2</v>
          </cell>
          <cell r="N42">
            <v>18.100000000000001</v>
          </cell>
          <cell r="O42">
            <v>154.6</v>
          </cell>
          <cell r="P42">
            <v>146.19999999999999</v>
          </cell>
          <cell r="Q42">
            <v>8.4</v>
          </cell>
        </row>
        <row r="43">
          <cell r="C43" t="str">
            <v>電子・デバイス</v>
          </cell>
          <cell r="F43">
            <v>17.5</v>
          </cell>
          <cell r="G43">
            <v>148.5</v>
          </cell>
          <cell r="H43">
            <v>136.4</v>
          </cell>
          <cell r="I43">
            <v>12.1</v>
          </cell>
          <cell r="J43">
            <v>17.8</v>
          </cell>
          <cell r="K43">
            <v>157.4</v>
          </cell>
          <cell r="L43">
            <v>142.1</v>
          </cell>
          <cell r="M43">
            <v>15.3</v>
          </cell>
          <cell r="N43">
            <v>16.7</v>
          </cell>
          <cell r="O43">
            <v>131.19999999999999</v>
          </cell>
          <cell r="P43">
            <v>125.4</v>
          </cell>
          <cell r="Q43">
            <v>5.8</v>
          </cell>
        </row>
        <row r="44">
          <cell r="C44" t="str">
            <v>電気機械器具</v>
          </cell>
          <cell r="F44">
            <v>20.399999999999999</v>
          </cell>
          <cell r="G44">
            <v>164.2</v>
          </cell>
          <cell r="H44">
            <v>157.9</v>
          </cell>
          <cell r="I44">
            <v>6.3</v>
          </cell>
          <cell r="J44">
            <v>20.9</v>
          </cell>
          <cell r="K44">
            <v>170.9</v>
          </cell>
          <cell r="L44">
            <v>163</v>
          </cell>
          <cell r="M44">
            <v>7.9</v>
          </cell>
          <cell r="N44">
            <v>19.399999999999999</v>
          </cell>
          <cell r="O44">
            <v>150.30000000000001</v>
          </cell>
          <cell r="P44">
            <v>147.4</v>
          </cell>
          <cell r="Q44">
            <v>2.9</v>
          </cell>
        </row>
        <row r="45">
          <cell r="C45" t="str">
            <v>情報通信機械器具</v>
          </cell>
          <cell r="F45" t="str">
            <v>#19.7</v>
          </cell>
          <cell r="G45" t="str">
            <v>#165.1</v>
          </cell>
          <cell r="H45" t="str">
            <v>#155.4</v>
          </cell>
          <cell r="I45" t="str">
            <v>#9.7</v>
          </cell>
          <cell r="J45" t="str">
            <v>#20.4</v>
          </cell>
          <cell r="K45" t="str">
            <v>#175.8</v>
          </cell>
          <cell r="L45" t="str">
            <v>#162.4</v>
          </cell>
          <cell r="M45" t="str">
            <v>#13.4</v>
          </cell>
          <cell r="N45" t="str">
            <v>#19</v>
          </cell>
          <cell r="O45" t="str">
            <v>#154.6</v>
          </cell>
          <cell r="P45" t="str">
            <v>#148.5</v>
          </cell>
          <cell r="Q45" t="str">
            <v>#6.1</v>
          </cell>
        </row>
        <row r="46">
          <cell r="C46" t="str">
            <v>輸送用機械器具</v>
          </cell>
          <cell r="F46">
            <v>17.600000000000001</v>
          </cell>
          <cell r="G46">
            <v>163.4</v>
          </cell>
          <cell r="H46">
            <v>142.19999999999999</v>
          </cell>
          <cell r="I46">
            <v>21.2</v>
          </cell>
          <cell r="J46">
            <v>17.7</v>
          </cell>
          <cell r="K46">
            <v>166.5</v>
          </cell>
          <cell r="L46">
            <v>143.9</v>
          </cell>
          <cell r="M46">
            <v>22.6</v>
          </cell>
          <cell r="N46">
            <v>17.5</v>
          </cell>
          <cell r="O46">
            <v>150</v>
          </cell>
          <cell r="P46">
            <v>134.80000000000001</v>
          </cell>
          <cell r="Q46">
            <v>15.2</v>
          </cell>
        </row>
        <row r="47">
          <cell r="C47" t="str">
            <v>その他の製造業</v>
          </cell>
          <cell r="F47">
            <v>20.8</v>
          </cell>
          <cell r="G47">
            <v>175.4</v>
          </cell>
          <cell r="H47">
            <v>154.30000000000001</v>
          </cell>
          <cell r="I47">
            <v>21.1</v>
          </cell>
          <cell r="J47">
            <v>21.1</v>
          </cell>
          <cell r="K47">
            <v>184.8</v>
          </cell>
          <cell r="L47">
            <v>158.6</v>
          </cell>
          <cell r="M47">
            <v>26.2</v>
          </cell>
          <cell r="N47">
            <v>19.399999999999999</v>
          </cell>
          <cell r="O47">
            <v>142</v>
          </cell>
          <cell r="P47">
            <v>139.1</v>
          </cell>
          <cell r="Q47">
            <v>2.9</v>
          </cell>
        </row>
        <row r="48">
          <cell r="C48" t="str">
            <v>Ｅ一括分１</v>
          </cell>
          <cell r="F48">
            <v>19.600000000000001</v>
          </cell>
          <cell r="G48">
            <v>167.8</v>
          </cell>
          <cell r="H48">
            <v>151.19999999999999</v>
          </cell>
          <cell r="I48">
            <v>16.600000000000001</v>
          </cell>
          <cell r="J48">
            <v>19.8</v>
          </cell>
          <cell r="K48">
            <v>175</v>
          </cell>
          <cell r="L48">
            <v>155.69999999999999</v>
          </cell>
          <cell r="M48">
            <v>19.3</v>
          </cell>
          <cell r="N48">
            <v>19.100000000000001</v>
          </cell>
          <cell r="O48">
            <v>151.19999999999999</v>
          </cell>
          <cell r="P48">
            <v>140.80000000000001</v>
          </cell>
          <cell r="Q48">
            <v>10.4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20.6</v>
          </cell>
          <cell r="G51">
            <v>165.6</v>
          </cell>
          <cell r="H51">
            <v>156.6</v>
          </cell>
          <cell r="I51">
            <v>9</v>
          </cell>
          <cell r="J51">
            <v>20.5</v>
          </cell>
          <cell r="K51">
            <v>169</v>
          </cell>
          <cell r="L51">
            <v>157.19999999999999</v>
          </cell>
          <cell r="M51">
            <v>11.8</v>
          </cell>
          <cell r="N51">
            <v>20.8</v>
          </cell>
          <cell r="O51">
            <v>158.5</v>
          </cell>
          <cell r="P51">
            <v>155.30000000000001</v>
          </cell>
          <cell r="Q51">
            <v>3.2</v>
          </cell>
        </row>
        <row r="52">
          <cell r="C52" t="str">
            <v>小売業</v>
          </cell>
          <cell r="F52">
            <v>17.100000000000001</v>
          </cell>
          <cell r="G52">
            <v>114.2</v>
          </cell>
          <cell r="H52">
            <v>107.8</v>
          </cell>
          <cell r="I52">
            <v>6.4</v>
          </cell>
          <cell r="J52">
            <v>18.3</v>
          </cell>
          <cell r="K52">
            <v>139.69999999999999</v>
          </cell>
          <cell r="L52">
            <v>128.19999999999999</v>
          </cell>
          <cell r="M52">
            <v>11.5</v>
          </cell>
          <cell r="N52">
            <v>16.600000000000001</v>
          </cell>
          <cell r="O52">
            <v>101.8</v>
          </cell>
          <cell r="P52">
            <v>97.9</v>
          </cell>
          <cell r="Q52">
            <v>3.9</v>
          </cell>
        </row>
        <row r="53">
          <cell r="C53" t="str">
            <v>宿泊業</v>
          </cell>
          <cell r="F53">
            <v>19.3</v>
          </cell>
          <cell r="G53">
            <v>127.9</v>
          </cell>
          <cell r="H53">
            <v>118.6</v>
          </cell>
          <cell r="I53">
            <v>9.3000000000000007</v>
          </cell>
          <cell r="J53">
            <v>19.2</v>
          </cell>
          <cell r="K53">
            <v>143.30000000000001</v>
          </cell>
          <cell r="L53">
            <v>130.1</v>
          </cell>
          <cell r="M53">
            <v>13.2</v>
          </cell>
          <cell r="N53">
            <v>19.399999999999999</v>
          </cell>
          <cell r="O53">
            <v>116.5</v>
          </cell>
          <cell r="P53">
            <v>110.1</v>
          </cell>
          <cell r="Q53">
            <v>6.4</v>
          </cell>
        </row>
        <row r="54">
          <cell r="C54" t="str">
            <v>Ｍ一括分</v>
          </cell>
          <cell r="F54">
            <v>12.4</v>
          </cell>
          <cell r="G54">
            <v>71.5</v>
          </cell>
          <cell r="H54">
            <v>69</v>
          </cell>
          <cell r="I54">
            <v>2.5</v>
          </cell>
          <cell r="J54">
            <v>12.6</v>
          </cell>
          <cell r="K54">
            <v>74.2</v>
          </cell>
          <cell r="L54">
            <v>71.099999999999994</v>
          </cell>
          <cell r="M54">
            <v>3.1</v>
          </cell>
          <cell r="N54">
            <v>12.3</v>
          </cell>
          <cell r="O54">
            <v>69.900000000000006</v>
          </cell>
          <cell r="P54">
            <v>67.8</v>
          </cell>
          <cell r="Q54">
            <v>2.1</v>
          </cell>
        </row>
        <row r="55">
          <cell r="C55" t="str">
            <v>医療業</v>
          </cell>
          <cell r="F55">
            <v>18.899999999999999</v>
          </cell>
          <cell r="G55">
            <v>144.5</v>
          </cell>
          <cell r="H55">
            <v>139.19999999999999</v>
          </cell>
          <cell r="I55">
            <v>5.3</v>
          </cell>
          <cell r="J55">
            <v>19.3</v>
          </cell>
          <cell r="K55">
            <v>151</v>
          </cell>
          <cell r="L55">
            <v>144</v>
          </cell>
          <cell r="M55">
            <v>7</v>
          </cell>
          <cell r="N55">
            <v>18.8</v>
          </cell>
          <cell r="O55">
            <v>142.5</v>
          </cell>
          <cell r="P55">
            <v>137.69999999999999</v>
          </cell>
          <cell r="Q55">
            <v>4.8</v>
          </cell>
        </row>
        <row r="56">
          <cell r="C56" t="str">
            <v>Ｐ一括分</v>
          </cell>
          <cell r="F56">
            <v>18.600000000000001</v>
          </cell>
          <cell r="G56">
            <v>136.69999999999999</v>
          </cell>
          <cell r="H56">
            <v>134.1</v>
          </cell>
          <cell r="I56">
            <v>2.6</v>
          </cell>
          <cell r="J56">
            <v>19</v>
          </cell>
          <cell r="K56">
            <v>147.1</v>
          </cell>
          <cell r="L56">
            <v>143.80000000000001</v>
          </cell>
          <cell r="M56">
            <v>3.3</v>
          </cell>
          <cell r="N56">
            <v>18.399999999999999</v>
          </cell>
          <cell r="O56">
            <v>132.6</v>
          </cell>
          <cell r="P56">
            <v>130.30000000000001</v>
          </cell>
          <cell r="Q56">
            <v>2.2999999999999998</v>
          </cell>
        </row>
        <row r="57">
          <cell r="C57" t="str">
            <v>職業紹介・派遣業</v>
          </cell>
          <cell r="F57">
            <v>18.5</v>
          </cell>
          <cell r="G57">
            <v>150.69999999999999</v>
          </cell>
          <cell r="H57">
            <v>142.4</v>
          </cell>
          <cell r="I57">
            <v>8.3000000000000007</v>
          </cell>
          <cell r="J57">
            <v>18.8</v>
          </cell>
          <cell r="K57">
            <v>164.4</v>
          </cell>
          <cell r="L57">
            <v>152.30000000000001</v>
          </cell>
          <cell r="M57">
            <v>12.1</v>
          </cell>
          <cell r="N57">
            <v>18.2</v>
          </cell>
          <cell r="O57">
            <v>138.69999999999999</v>
          </cell>
          <cell r="P57">
            <v>133.80000000000001</v>
          </cell>
          <cell r="Q57">
            <v>4.9000000000000004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18</v>
          </cell>
          <cell r="G59">
            <v>133.6</v>
          </cell>
          <cell r="H59">
            <v>125</v>
          </cell>
          <cell r="I59">
            <v>8.6</v>
          </cell>
          <cell r="J59">
            <v>18.399999999999999</v>
          </cell>
          <cell r="K59">
            <v>147.9</v>
          </cell>
          <cell r="L59">
            <v>136</v>
          </cell>
          <cell r="M59">
            <v>11.9</v>
          </cell>
          <cell r="N59">
            <v>17.600000000000001</v>
          </cell>
          <cell r="O59">
            <v>116.5</v>
          </cell>
          <cell r="P59">
            <v>111.9</v>
          </cell>
          <cell r="Q59">
            <v>4.5999999999999996</v>
          </cell>
        </row>
        <row r="60">
          <cell r="C60" t="str">
            <v>特掲産業１</v>
          </cell>
          <cell r="F60" t="str">
            <v>#15.2</v>
          </cell>
          <cell r="G60" t="str">
            <v>#121.1</v>
          </cell>
          <cell r="H60" t="str">
            <v>#116.4</v>
          </cell>
          <cell r="I60" t="str">
            <v>#4.7</v>
          </cell>
          <cell r="J60" t="str">
            <v>#15</v>
          </cell>
          <cell r="K60" t="str">
            <v>#123.2</v>
          </cell>
          <cell r="L60" t="str">
            <v>#117.9</v>
          </cell>
          <cell r="M60" t="str">
            <v>#5.3</v>
          </cell>
          <cell r="N60" t="str">
            <v>#15.6</v>
          </cell>
          <cell r="O60" t="str">
            <v>#116.5</v>
          </cell>
          <cell r="P60" t="str">
            <v>#113.1</v>
          </cell>
          <cell r="Q60" t="str">
            <v>#3.4</v>
          </cell>
        </row>
        <row r="61">
          <cell r="C61" t="str">
            <v>特掲産業２</v>
          </cell>
          <cell r="F61" t="str">
            <v>#18.2</v>
          </cell>
          <cell r="G61" t="str">
            <v>#143.7</v>
          </cell>
          <cell r="H61" t="str">
            <v>#132.9</v>
          </cell>
          <cell r="I61" t="str">
            <v>#10.8</v>
          </cell>
          <cell r="J61" t="str">
            <v>#19.2</v>
          </cell>
          <cell r="K61" t="str">
            <v>#164.1</v>
          </cell>
          <cell r="L61" t="str">
            <v>#146.6</v>
          </cell>
          <cell r="M61" t="str">
            <v>#17.5</v>
          </cell>
          <cell r="N61" t="str">
            <v>#16.8</v>
          </cell>
          <cell r="O61" t="str">
            <v>#114.4</v>
          </cell>
          <cell r="P61" t="str">
            <v>#113.2</v>
          </cell>
          <cell r="Q61" t="str">
            <v>#1.2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18.2</v>
          </cell>
          <cell r="G80">
            <v>140.4</v>
          </cell>
          <cell r="H80">
            <v>130.9</v>
          </cell>
          <cell r="I80">
            <v>9.5</v>
          </cell>
          <cell r="J80">
            <v>19.100000000000001</v>
          </cell>
          <cell r="K80">
            <v>156.19999999999999</v>
          </cell>
          <cell r="L80">
            <v>142.1</v>
          </cell>
          <cell r="M80">
            <v>14.1</v>
          </cell>
          <cell r="N80">
            <v>17.5</v>
          </cell>
          <cell r="O80">
            <v>125.4</v>
          </cell>
          <cell r="P80">
            <v>120.3</v>
          </cell>
          <cell r="Q80">
            <v>5.0999999999999996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20.3</v>
          </cell>
          <cell r="G82">
            <v>161.6</v>
          </cell>
          <cell r="H82">
            <v>151.69999999999999</v>
          </cell>
          <cell r="I82">
            <v>9.9</v>
          </cell>
          <cell r="J82">
            <v>20.5</v>
          </cell>
          <cell r="K82">
            <v>164.7</v>
          </cell>
          <cell r="L82">
            <v>153.69999999999999</v>
          </cell>
          <cell r="M82">
            <v>11</v>
          </cell>
          <cell r="N82">
            <v>19.5</v>
          </cell>
          <cell r="O82">
            <v>143.19999999999999</v>
          </cell>
          <cell r="P82">
            <v>140</v>
          </cell>
          <cell r="Q82">
            <v>3.2</v>
          </cell>
        </row>
        <row r="83">
          <cell r="C83" t="str">
            <v>製造業</v>
          </cell>
          <cell r="F83">
            <v>19.600000000000001</v>
          </cell>
          <cell r="G83">
            <v>159.80000000000001</v>
          </cell>
          <cell r="H83">
            <v>146.80000000000001</v>
          </cell>
          <cell r="I83">
            <v>13</v>
          </cell>
          <cell r="J83">
            <v>20</v>
          </cell>
          <cell r="K83">
            <v>170.3</v>
          </cell>
          <cell r="L83">
            <v>153.5</v>
          </cell>
          <cell r="M83">
            <v>16.8</v>
          </cell>
          <cell r="N83">
            <v>19</v>
          </cell>
          <cell r="O83">
            <v>145.1</v>
          </cell>
          <cell r="P83">
            <v>137.4</v>
          </cell>
          <cell r="Q83">
            <v>7.7</v>
          </cell>
        </row>
        <row r="84">
          <cell r="C84" t="str">
            <v>電気・ガス・熱供給・水道業</v>
          </cell>
          <cell r="F84">
            <v>17.7</v>
          </cell>
          <cell r="G84">
            <v>150.5</v>
          </cell>
          <cell r="H84">
            <v>138.4</v>
          </cell>
          <cell r="I84">
            <v>12.1</v>
          </cell>
          <cell r="J84">
            <v>17.8</v>
          </cell>
          <cell r="K84">
            <v>154.19999999999999</v>
          </cell>
          <cell r="L84">
            <v>140.80000000000001</v>
          </cell>
          <cell r="M84">
            <v>13.4</v>
          </cell>
          <cell r="N84">
            <v>17.3</v>
          </cell>
          <cell r="O84">
            <v>125.4</v>
          </cell>
          <cell r="P84">
            <v>121.7</v>
          </cell>
          <cell r="Q84">
            <v>3.7</v>
          </cell>
        </row>
        <row r="85">
          <cell r="C85" t="str">
            <v>情報通信業</v>
          </cell>
          <cell r="F85">
            <v>19.2</v>
          </cell>
          <cell r="G85">
            <v>155.6</v>
          </cell>
          <cell r="H85">
            <v>144.6</v>
          </cell>
          <cell r="I85">
            <v>11</v>
          </cell>
          <cell r="J85">
            <v>19.5</v>
          </cell>
          <cell r="K85">
            <v>158.80000000000001</v>
          </cell>
          <cell r="L85">
            <v>147.4</v>
          </cell>
          <cell r="M85">
            <v>11.4</v>
          </cell>
          <cell r="N85">
            <v>18.600000000000001</v>
          </cell>
          <cell r="O85">
            <v>148.80000000000001</v>
          </cell>
          <cell r="P85">
            <v>138.6</v>
          </cell>
          <cell r="Q85">
            <v>10.199999999999999</v>
          </cell>
        </row>
        <row r="86">
          <cell r="C86" t="str">
            <v>運輸業，郵便業</v>
          </cell>
          <cell r="F86">
            <v>21.3</v>
          </cell>
          <cell r="G86">
            <v>199.8</v>
          </cell>
          <cell r="H86">
            <v>164.9</v>
          </cell>
          <cell r="I86">
            <v>34.9</v>
          </cell>
          <cell r="J86">
            <v>21.4</v>
          </cell>
          <cell r="K86">
            <v>206.1</v>
          </cell>
          <cell r="L86">
            <v>167.7</v>
          </cell>
          <cell r="M86">
            <v>38.4</v>
          </cell>
          <cell r="N86">
            <v>19.8</v>
          </cell>
          <cell r="O86">
            <v>149.80000000000001</v>
          </cell>
          <cell r="P86">
            <v>143</v>
          </cell>
          <cell r="Q86">
            <v>6.8</v>
          </cell>
        </row>
        <row r="87">
          <cell r="C87" t="str">
            <v>卸売業，小売業</v>
          </cell>
          <cell r="F87">
            <v>17.7</v>
          </cell>
          <cell r="G87">
            <v>131.5</v>
          </cell>
          <cell r="H87">
            <v>123.4</v>
          </cell>
          <cell r="I87">
            <v>8.1</v>
          </cell>
          <cell r="J87">
            <v>18.7</v>
          </cell>
          <cell r="K87">
            <v>151.69999999999999</v>
          </cell>
          <cell r="L87">
            <v>139.19999999999999</v>
          </cell>
          <cell r="M87">
            <v>12.5</v>
          </cell>
          <cell r="N87">
            <v>16.8</v>
          </cell>
          <cell r="O87">
            <v>111.7</v>
          </cell>
          <cell r="P87">
            <v>107.8</v>
          </cell>
          <cell r="Q87">
            <v>3.9</v>
          </cell>
        </row>
        <row r="88">
          <cell r="C88" t="str">
            <v>金融業，保険業</v>
          </cell>
          <cell r="F88">
            <v>18.7</v>
          </cell>
          <cell r="G88">
            <v>144.1</v>
          </cell>
          <cell r="H88">
            <v>138</v>
          </cell>
          <cell r="I88">
            <v>6.1</v>
          </cell>
          <cell r="J88">
            <v>19.2</v>
          </cell>
          <cell r="K88">
            <v>155.5</v>
          </cell>
          <cell r="L88">
            <v>146.6</v>
          </cell>
          <cell r="M88">
            <v>8.9</v>
          </cell>
          <cell r="N88">
            <v>18.3</v>
          </cell>
          <cell r="O88">
            <v>134.30000000000001</v>
          </cell>
          <cell r="P88">
            <v>130.6</v>
          </cell>
          <cell r="Q88">
            <v>3.7</v>
          </cell>
        </row>
        <row r="89">
          <cell r="C89" t="str">
            <v>不動産業，物品賃貸業</v>
          </cell>
          <cell r="F89">
            <v>17</v>
          </cell>
          <cell r="G89">
            <v>116.8</v>
          </cell>
          <cell r="H89">
            <v>115.3</v>
          </cell>
          <cell r="I89">
            <v>1.5</v>
          </cell>
          <cell r="J89">
            <v>17.2</v>
          </cell>
          <cell r="K89">
            <v>125</v>
          </cell>
          <cell r="L89">
            <v>122.6</v>
          </cell>
          <cell r="M89">
            <v>2.4</v>
          </cell>
          <cell r="N89">
            <v>16.7</v>
          </cell>
          <cell r="O89">
            <v>107.4</v>
          </cell>
          <cell r="P89">
            <v>106.9</v>
          </cell>
          <cell r="Q89">
            <v>0.5</v>
          </cell>
        </row>
        <row r="90">
          <cell r="C90" t="str">
            <v>学術研究，専門・技術サービス業</v>
          </cell>
          <cell r="F90">
            <v>19.2</v>
          </cell>
          <cell r="G90">
            <v>148.19999999999999</v>
          </cell>
          <cell r="H90">
            <v>139.30000000000001</v>
          </cell>
          <cell r="I90">
            <v>8.9</v>
          </cell>
          <cell r="J90">
            <v>19.2</v>
          </cell>
          <cell r="K90">
            <v>158</v>
          </cell>
          <cell r="L90">
            <v>148.6</v>
          </cell>
          <cell r="M90">
            <v>9.4</v>
          </cell>
          <cell r="N90">
            <v>19.100000000000001</v>
          </cell>
          <cell r="O90">
            <v>132.1</v>
          </cell>
          <cell r="P90">
            <v>124</v>
          </cell>
          <cell r="Q90">
            <v>8.1</v>
          </cell>
        </row>
        <row r="91">
          <cell r="C91" t="str">
            <v>宿泊業，飲食サービス業</v>
          </cell>
          <cell r="F91">
            <v>13.9</v>
          </cell>
          <cell r="G91">
            <v>77.2</v>
          </cell>
          <cell r="H91">
            <v>74.2</v>
          </cell>
          <cell r="I91">
            <v>3</v>
          </cell>
          <cell r="J91">
            <v>15.1</v>
          </cell>
          <cell r="K91">
            <v>92</v>
          </cell>
          <cell r="L91">
            <v>85.4</v>
          </cell>
          <cell r="M91">
            <v>6.6</v>
          </cell>
          <cell r="N91">
            <v>13.3</v>
          </cell>
          <cell r="O91">
            <v>69.8</v>
          </cell>
          <cell r="P91">
            <v>68.599999999999994</v>
          </cell>
          <cell r="Q91">
            <v>1.2</v>
          </cell>
        </row>
        <row r="92">
          <cell r="C92" t="str">
            <v>生活関連サービス業，娯楽業</v>
          </cell>
          <cell r="F92">
            <v>15.9</v>
          </cell>
          <cell r="G92">
            <v>120.9</v>
          </cell>
          <cell r="H92">
            <v>114.3</v>
          </cell>
          <cell r="I92">
            <v>6.6</v>
          </cell>
          <cell r="J92">
            <v>15.9</v>
          </cell>
          <cell r="K92">
            <v>121.6</v>
          </cell>
          <cell r="L92">
            <v>115.1</v>
          </cell>
          <cell r="M92">
            <v>6.5</v>
          </cell>
          <cell r="N92">
            <v>16</v>
          </cell>
          <cell r="O92">
            <v>119.6</v>
          </cell>
          <cell r="P92">
            <v>112.9</v>
          </cell>
          <cell r="Q92">
            <v>6.7</v>
          </cell>
        </row>
        <row r="93">
          <cell r="C93" t="str">
            <v>教育，学習支援業</v>
          </cell>
          <cell r="F93">
            <v>16.7</v>
          </cell>
          <cell r="G93">
            <v>138.19999999999999</v>
          </cell>
          <cell r="H93">
            <v>120.4</v>
          </cell>
          <cell r="I93">
            <v>17.8</v>
          </cell>
          <cell r="J93">
            <v>17.3</v>
          </cell>
          <cell r="K93">
            <v>148.9</v>
          </cell>
          <cell r="L93">
            <v>125</v>
          </cell>
          <cell r="M93">
            <v>23.9</v>
          </cell>
          <cell r="N93">
            <v>16.3</v>
          </cell>
          <cell r="O93">
            <v>129.6</v>
          </cell>
          <cell r="P93">
            <v>116.7</v>
          </cell>
          <cell r="Q93">
            <v>12.9</v>
          </cell>
        </row>
        <row r="94">
          <cell r="C94" t="str">
            <v>医療，福祉</v>
          </cell>
          <cell r="F94">
            <v>18.8</v>
          </cell>
          <cell r="G94">
            <v>142.5</v>
          </cell>
          <cell r="H94">
            <v>138.1</v>
          </cell>
          <cell r="I94">
            <v>4.4000000000000004</v>
          </cell>
          <cell r="J94">
            <v>19.399999999999999</v>
          </cell>
          <cell r="K94">
            <v>149.69999999999999</v>
          </cell>
          <cell r="L94">
            <v>145.4</v>
          </cell>
          <cell r="M94">
            <v>4.3</v>
          </cell>
          <cell r="N94">
            <v>18.600000000000001</v>
          </cell>
          <cell r="O94">
            <v>140.1</v>
          </cell>
          <cell r="P94">
            <v>135.69999999999999</v>
          </cell>
          <cell r="Q94">
            <v>4.4000000000000004</v>
          </cell>
        </row>
        <row r="95">
          <cell r="C95" t="str">
            <v>複合サービス事業</v>
          </cell>
          <cell r="F95">
            <v>19.7</v>
          </cell>
          <cell r="G95">
            <v>157.19999999999999</v>
          </cell>
          <cell r="H95">
            <v>152</v>
          </cell>
          <cell r="I95">
            <v>5.2</v>
          </cell>
          <cell r="J95">
            <v>19.899999999999999</v>
          </cell>
          <cell r="K95">
            <v>163.1</v>
          </cell>
          <cell r="L95">
            <v>156.19999999999999</v>
          </cell>
          <cell r="M95">
            <v>6.9</v>
          </cell>
          <cell r="N95">
            <v>19.3</v>
          </cell>
          <cell r="O95">
            <v>146.69999999999999</v>
          </cell>
          <cell r="P95">
            <v>144.5</v>
          </cell>
          <cell r="Q95">
            <v>2.2000000000000002</v>
          </cell>
        </row>
        <row r="96">
          <cell r="C96" t="str">
            <v>サービス業（他に分類されないもの）</v>
          </cell>
          <cell r="F96">
            <v>18.5</v>
          </cell>
          <cell r="G96">
            <v>139.6</v>
          </cell>
          <cell r="H96">
            <v>132</v>
          </cell>
          <cell r="I96">
            <v>7.6</v>
          </cell>
          <cell r="J96">
            <v>19.100000000000001</v>
          </cell>
          <cell r="K96">
            <v>152.4</v>
          </cell>
          <cell r="L96">
            <v>141.6</v>
          </cell>
          <cell r="M96">
            <v>10.8</v>
          </cell>
          <cell r="N96">
            <v>17.8</v>
          </cell>
          <cell r="O96">
            <v>124.4</v>
          </cell>
          <cell r="P96">
            <v>120.6</v>
          </cell>
          <cell r="Q96">
            <v>3.8</v>
          </cell>
        </row>
        <row r="97">
          <cell r="C97" t="str">
            <v>食料品・たばこ</v>
          </cell>
          <cell r="F97">
            <v>19.5</v>
          </cell>
          <cell r="G97">
            <v>154.4</v>
          </cell>
          <cell r="H97">
            <v>143.4</v>
          </cell>
          <cell r="I97">
            <v>11</v>
          </cell>
          <cell r="J97">
            <v>20.399999999999999</v>
          </cell>
          <cell r="K97">
            <v>171.1</v>
          </cell>
          <cell r="L97">
            <v>156</v>
          </cell>
          <cell r="M97">
            <v>15.1</v>
          </cell>
          <cell r="N97">
            <v>18.899999999999999</v>
          </cell>
          <cell r="O97">
            <v>143.30000000000001</v>
          </cell>
          <cell r="P97">
            <v>135</v>
          </cell>
          <cell r="Q97">
            <v>8.3000000000000007</v>
          </cell>
        </row>
        <row r="98">
          <cell r="C98" t="str">
            <v>繊維工業</v>
          </cell>
          <cell r="F98">
            <v>20.5</v>
          </cell>
          <cell r="G98">
            <v>159.30000000000001</v>
          </cell>
          <cell r="H98">
            <v>147.19999999999999</v>
          </cell>
          <cell r="I98">
            <v>12.1</v>
          </cell>
          <cell r="J98">
            <v>20.2</v>
          </cell>
          <cell r="K98">
            <v>165</v>
          </cell>
          <cell r="L98">
            <v>149.30000000000001</v>
          </cell>
          <cell r="M98">
            <v>15.7</v>
          </cell>
          <cell r="N98">
            <v>20.8</v>
          </cell>
          <cell r="O98">
            <v>155.19999999999999</v>
          </cell>
          <cell r="P98">
            <v>145.69999999999999</v>
          </cell>
          <cell r="Q98">
            <v>9.5</v>
          </cell>
        </row>
        <row r="99">
          <cell r="C99" t="str">
            <v>木材・木製品</v>
          </cell>
          <cell r="F99">
            <v>19.2</v>
          </cell>
          <cell r="G99">
            <v>152.69999999999999</v>
          </cell>
          <cell r="H99">
            <v>144</v>
          </cell>
          <cell r="I99">
            <v>8.6999999999999993</v>
          </cell>
          <cell r="J99">
            <v>19.5</v>
          </cell>
          <cell r="K99">
            <v>159.80000000000001</v>
          </cell>
          <cell r="L99">
            <v>149.19999999999999</v>
          </cell>
          <cell r="M99">
            <v>10.6</v>
          </cell>
          <cell r="N99">
            <v>18.600000000000001</v>
          </cell>
          <cell r="O99">
            <v>132.69999999999999</v>
          </cell>
          <cell r="P99">
            <v>129.30000000000001</v>
          </cell>
          <cell r="Q99">
            <v>3.4</v>
          </cell>
        </row>
        <row r="100">
          <cell r="C100" t="str">
            <v>家具・装備品</v>
          </cell>
          <cell r="F100" t="str">
            <v>#19.8</v>
          </cell>
          <cell r="G100" t="str">
            <v>#149</v>
          </cell>
          <cell r="H100" t="str">
            <v>#149</v>
          </cell>
          <cell r="I100" t="str">
            <v>#0</v>
          </cell>
          <cell r="J100" t="str">
            <v>#20.1</v>
          </cell>
          <cell r="K100" t="str">
            <v>#156.3</v>
          </cell>
          <cell r="L100" t="str">
            <v>#156.3</v>
          </cell>
          <cell r="M100" t="str">
            <v>#0</v>
          </cell>
          <cell r="N100" t="str">
            <v>#19.2</v>
          </cell>
          <cell r="O100" t="str">
            <v>#130.1</v>
          </cell>
          <cell r="P100" t="str">
            <v>#130.1</v>
          </cell>
          <cell r="Q100" t="str">
            <v>#0</v>
          </cell>
        </row>
        <row r="101">
          <cell r="C101" t="str">
            <v>パルプ・紙</v>
          </cell>
          <cell r="F101">
            <v>24.2</v>
          </cell>
          <cell r="G101">
            <v>189.2</v>
          </cell>
          <cell r="H101">
            <v>177.9</v>
          </cell>
          <cell r="I101">
            <v>11.3</v>
          </cell>
          <cell r="J101">
            <v>24.4</v>
          </cell>
          <cell r="K101">
            <v>194.8</v>
          </cell>
          <cell r="L101">
            <v>181</v>
          </cell>
          <cell r="M101">
            <v>13.8</v>
          </cell>
          <cell r="N101">
            <v>23.3</v>
          </cell>
          <cell r="O101">
            <v>169.9</v>
          </cell>
          <cell r="P101">
            <v>167.1</v>
          </cell>
          <cell r="Q101">
            <v>2.8</v>
          </cell>
        </row>
        <row r="102">
          <cell r="C102" t="str">
            <v>印刷・同関連業</v>
          </cell>
          <cell r="F102">
            <v>20.6</v>
          </cell>
          <cell r="G102">
            <v>165.1</v>
          </cell>
          <cell r="H102">
            <v>157.30000000000001</v>
          </cell>
          <cell r="I102">
            <v>7.8</v>
          </cell>
          <cell r="J102">
            <v>20.399999999999999</v>
          </cell>
          <cell r="K102">
            <v>166.3</v>
          </cell>
          <cell r="L102">
            <v>157.80000000000001</v>
          </cell>
          <cell r="M102">
            <v>8.5</v>
          </cell>
          <cell r="N102">
            <v>21.2</v>
          </cell>
          <cell r="O102">
            <v>162.30000000000001</v>
          </cell>
          <cell r="P102">
            <v>156.19999999999999</v>
          </cell>
          <cell r="Q102">
            <v>6.1</v>
          </cell>
        </row>
        <row r="103">
          <cell r="C103" t="str">
            <v>化学、石油・石炭</v>
          </cell>
          <cell r="F103">
            <v>19.7</v>
          </cell>
          <cell r="G103">
            <v>165.1</v>
          </cell>
          <cell r="H103">
            <v>146.5</v>
          </cell>
          <cell r="I103">
            <v>18.600000000000001</v>
          </cell>
          <cell r="J103">
            <v>19.899999999999999</v>
          </cell>
          <cell r="K103">
            <v>167.5</v>
          </cell>
          <cell r="L103">
            <v>148</v>
          </cell>
          <cell r="M103">
            <v>19.5</v>
          </cell>
          <cell r="N103">
            <v>17.5</v>
          </cell>
          <cell r="O103">
            <v>139.6</v>
          </cell>
          <cell r="P103">
            <v>130.30000000000001</v>
          </cell>
          <cell r="Q103">
            <v>9.3000000000000007</v>
          </cell>
        </row>
        <row r="104">
          <cell r="C104" t="str">
            <v>プラスチック製品</v>
          </cell>
          <cell r="F104">
            <v>20</v>
          </cell>
          <cell r="G104">
            <v>151.80000000000001</v>
          </cell>
          <cell r="H104">
            <v>141.80000000000001</v>
          </cell>
          <cell r="I104">
            <v>10</v>
          </cell>
          <cell r="J104">
            <v>20.100000000000001</v>
          </cell>
          <cell r="K104">
            <v>161.5</v>
          </cell>
          <cell r="L104">
            <v>147.9</v>
          </cell>
          <cell r="M104">
            <v>13.6</v>
          </cell>
          <cell r="N104">
            <v>20</v>
          </cell>
          <cell r="O104">
            <v>127.4</v>
          </cell>
          <cell r="P104">
            <v>126.4</v>
          </cell>
          <cell r="Q104">
            <v>1</v>
          </cell>
        </row>
        <row r="105">
          <cell r="C105" t="str">
            <v>ゴム製品</v>
          </cell>
          <cell r="F105">
            <v>19.2</v>
          </cell>
          <cell r="G105">
            <v>161.6</v>
          </cell>
          <cell r="H105">
            <v>142</v>
          </cell>
          <cell r="I105">
            <v>19.600000000000001</v>
          </cell>
          <cell r="J105">
            <v>19</v>
          </cell>
          <cell r="K105">
            <v>160.80000000000001</v>
          </cell>
          <cell r="L105">
            <v>139.9</v>
          </cell>
          <cell r="M105">
            <v>20.9</v>
          </cell>
          <cell r="N105">
            <v>20.399999999999999</v>
          </cell>
          <cell r="O105">
            <v>166.5</v>
          </cell>
          <cell r="P105">
            <v>154.4</v>
          </cell>
          <cell r="Q105">
            <v>12.1</v>
          </cell>
        </row>
        <row r="106">
          <cell r="C106" t="str">
            <v>窯業・土石製品</v>
          </cell>
          <cell r="F106">
            <v>20.2</v>
          </cell>
          <cell r="G106">
            <v>173</v>
          </cell>
          <cell r="H106">
            <v>159.30000000000001</v>
          </cell>
          <cell r="I106">
            <v>13.7</v>
          </cell>
          <cell r="J106">
            <v>20.2</v>
          </cell>
          <cell r="K106">
            <v>175.9</v>
          </cell>
          <cell r="L106">
            <v>159.5</v>
          </cell>
          <cell r="M106">
            <v>16.399999999999999</v>
          </cell>
          <cell r="N106">
            <v>20.5</v>
          </cell>
          <cell r="O106">
            <v>162</v>
          </cell>
          <cell r="P106">
            <v>158.5</v>
          </cell>
          <cell r="Q106">
            <v>3.5</v>
          </cell>
        </row>
        <row r="107">
          <cell r="C107" t="str">
            <v>鉄鋼業</v>
          </cell>
          <cell r="F107" t="str">
            <v>#18.3</v>
          </cell>
          <cell r="G107" t="str">
            <v>#169.7</v>
          </cell>
          <cell r="H107" t="str">
            <v>#143.5</v>
          </cell>
          <cell r="I107" t="str">
            <v>#26.2</v>
          </cell>
          <cell r="J107" t="str">
            <v>#18.4</v>
          </cell>
          <cell r="K107" t="str">
            <v>#170.6</v>
          </cell>
          <cell r="L107" t="str">
            <v>#144</v>
          </cell>
          <cell r="M107" t="str">
            <v>#26.6</v>
          </cell>
          <cell r="N107" t="str">
            <v>#17.2</v>
          </cell>
          <cell r="O107" t="str">
            <v>#159.3</v>
          </cell>
          <cell r="P107" t="str">
            <v>#137.7</v>
          </cell>
          <cell r="Q107" t="str">
            <v>#21.6</v>
          </cell>
        </row>
        <row r="108">
          <cell r="C108" t="str">
            <v>非鉄金属製造業</v>
          </cell>
          <cell r="F108" t="str">
            <v>#19.2</v>
          </cell>
          <cell r="G108" t="str">
            <v>#158.6</v>
          </cell>
          <cell r="H108" t="str">
            <v>#151.4</v>
          </cell>
          <cell r="I108" t="str">
            <v>#7.2</v>
          </cell>
          <cell r="J108" t="str">
            <v>#19.9</v>
          </cell>
          <cell r="K108" t="str">
            <v>#167.8</v>
          </cell>
          <cell r="L108" t="str">
            <v>#158.9</v>
          </cell>
          <cell r="M108" t="str">
            <v>#8.9</v>
          </cell>
          <cell r="N108" t="str">
            <v>#18.6</v>
          </cell>
          <cell r="O108" t="str">
            <v>#149.4</v>
          </cell>
          <cell r="P108" t="str">
            <v>#143.8</v>
          </cell>
          <cell r="Q108" t="str">
            <v>#5.6</v>
          </cell>
        </row>
        <row r="109">
          <cell r="C109" t="str">
            <v>金属製品製造業</v>
          </cell>
          <cell r="F109">
            <v>20.100000000000001</v>
          </cell>
          <cell r="G109">
            <v>160.69999999999999</v>
          </cell>
          <cell r="H109">
            <v>150.1</v>
          </cell>
          <cell r="I109">
            <v>10.6</v>
          </cell>
          <cell r="J109">
            <v>21.2</v>
          </cell>
          <cell r="K109">
            <v>177.5</v>
          </cell>
          <cell r="L109">
            <v>163.4</v>
          </cell>
          <cell r="M109">
            <v>14.1</v>
          </cell>
          <cell r="N109">
            <v>18.100000000000001</v>
          </cell>
          <cell r="O109">
            <v>132.9</v>
          </cell>
          <cell r="P109">
            <v>128.1</v>
          </cell>
          <cell r="Q109">
            <v>4.8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19.8</v>
          </cell>
          <cell r="G112">
            <v>168.4</v>
          </cell>
          <cell r="H112">
            <v>157.6</v>
          </cell>
          <cell r="I112">
            <v>10.8</v>
          </cell>
          <cell r="J112">
            <v>21.5</v>
          </cell>
          <cell r="K112">
            <v>182.8</v>
          </cell>
          <cell r="L112">
            <v>169.6</v>
          </cell>
          <cell r="M112">
            <v>13.2</v>
          </cell>
          <cell r="N112">
            <v>18.100000000000001</v>
          </cell>
          <cell r="O112">
            <v>154.6</v>
          </cell>
          <cell r="P112">
            <v>146.19999999999999</v>
          </cell>
          <cell r="Q112">
            <v>8.4</v>
          </cell>
        </row>
        <row r="113">
          <cell r="C113" t="str">
            <v>電子・デバイス</v>
          </cell>
          <cell r="F113">
            <v>17.5</v>
          </cell>
          <cell r="G113">
            <v>148.5</v>
          </cell>
          <cell r="H113">
            <v>136.4</v>
          </cell>
          <cell r="I113">
            <v>12.1</v>
          </cell>
          <cell r="J113">
            <v>17.8</v>
          </cell>
          <cell r="K113">
            <v>157.4</v>
          </cell>
          <cell r="L113">
            <v>142.1</v>
          </cell>
          <cell r="M113">
            <v>15.3</v>
          </cell>
          <cell r="N113">
            <v>16.7</v>
          </cell>
          <cell r="O113">
            <v>131.19999999999999</v>
          </cell>
          <cell r="P113">
            <v>125.4</v>
          </cell>
          <cell r="Q113">
            <v>5.8</v>
          </cell>
        </row>
        <row r="114">
          <cell r="C114" t="str">
            <v>電気機械器具</v>
          </cell>
          <cell r="F114">
            <v>20.8</v>
          </cell>
          <cell r="G114">
            <v>170.5</v>
          </cell>
          <cell r="H114">
            <v>161.30000000000001</v>
          </cell>
          <cell r="I114">
            <v>9.1999999999999993</v>
          </cell>
          <cell r="J114">
            <v>21.4</v>
          </cell>
          <cell r="K114">
            <v>178.2</v>
          </cell>
          <cell r="L114">
            <v>166.8</v>
          </cell>
          <cell r="M114">
            <v>11.4</v>
          </cell>
          <cell r="N114">
            <v>19.3</v>
          </cell>
          <cell r="O114">
            <v>150.80000000000001</v>
          </cell>
          <cell r="P114">
            <v>147.1</v>
          </cell>
          <cell r="Q114">
            <v>3.7</v>
          </cell>
        </row>
        <row r="115">
          <cell r="C115" t="str">
            <v>情報通信機械器具</v>
          </cell>
          <cell r="F115" t="str">
            <v>#19.7</v>
          </cell>
          <cell r="G115" t="str">
            <v>#165.1</v>
          </cell>
          <cell r="H115" t="str">
            <v>#155.4</v>
          </cell>
          <cell r="I115" t="str">
            <v>#9.7</v>
          </cell>
          <cell r="J115" t="str">
            <v>#20.4</v>
          </cell>
          <cell r="K115" t="str">
            <v>#175.8</v>
          </cell>
          <cell r="L115" t="str">
            <v>#162.4</v>
          </cell>
          <cell r="M115" t="str">
            <v>#13.4</v>
          </cell>
          <cell r="N115" t="str">
            <v>#19</v>
          </cell>
          <cell r="O115" t="str">
            <v>#154.6</v>
          </cell>
          <cell r="P115" t="str">
            <v>#148.5</v>
          </cell>
          <cell r="Q115" t="str">
            <v>#6.1</v>
          </cell>
        </row>
        <row r="116">
          <cell r="C116" t="str">
            <v>輸送用機械器具</v>
          </cell>
          <cell r="F116">
            <v>17.5</v>
          </cell>
          <cell r="G116">
            <v>160</v>
          </cell>
          <cell r="H116">
            <v>140.1</v>
          </cell>
          <cell r="I116">
            <v>19.899999999999999</v>
          </cell>
          <cell r="J116">
            <v>17.7</v>
          </cell>
          <cell r="K116">
            <v>165.2</v>
          </cell>
          <cell r="L116">
            <v>143.4</v>
          </cell>
          <cell r="M116">
            <v>21.8</v>
          </cell>
          <cell r="N116">
            <v>16.899999999999999</v>
          </cell>
          <cell r="O116">
            <v>140.4</v>
          </cell>
          <cell r="P116">
            <v>127.9</v>
          </cell>
          <cell r="Q116">
            <v>12.5</v>
          </cell>
        </row>
        <row r="117">
          <cell r="C117" t="str">
            <v>その他の製造業</v>
          </cell>
          <cell r="F117">
            <v>20.8</v>
          </cell>
          <cell r="G117">
            <v>175.4</v>
          </cell>
          <cell r="H117">
            <v>154.30000000000001</v>
          </cell>
          <cell r="I117">
            <v>21.1</v>
          </cell>
          <cell r="J117">
            <v>21.1</v>
          </cell>
          <cell r="K117">
            <v>184.8</v>
          </cell>
          <cell r="L117">
            <v>158.6</v>
          </cell>
          <cell r="M117">
            <v>26.2</v>
          </cell>
          <cell r="N117">
            <v>19.399999999999999</v>
          </cell>
          <cell r="O117">
            <v>142</v>
          </cell>
          <cell r="P117">
            <v>139.1</v>
          </cell>
          <cell r="Q117">
            <v>2.9</v>
          </cell>
        </row>
        <row r="118">
          <cell r="C118" t="str">
            <v>Ｅ一括分１</v>
          </cell>
          <cell r="F118">
            <v>20.6</v>
          </cell>
          <cell r="G118">
            <v>182.5</v>
          </cell>
          <cell r="H118">
            <v>155.6</v>
          </cell>
          <cell r="I118">
            <v>26.9</v>
          </cell>
          <cell r="J118">
            <v>21.1</v>
          </cell>
          <cell r="K118">
            <v>192.4</v>
          </cell>
          <cell r="L118">
            <v>159.5</v>
          </cell>
          <cell r="M118">
            <v>32.9</v>
          </cell>
          <cell r="N118">
            <v>19.3</v>
          </cell>
          <cell r="O118">
            <v>152.80000000000001</v>
          </cell>
          <cell r="P118">
            <v>144.1</v>
          </cell>
          <cell r="Q118">
            <v>8.6999999999999993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20</v>
          </cell>
          <cell r="G121">
            <v>167.6</v>
          </cell>
          <cell r="H121">
            <v>156.4</v>
          </cell>
          <cell r="I121">
            <v>11.2</v>
          </cell>
          <cell r="J121">
            <v>20.3</v>
          </cell>
          <cell r="K121">
            <v>174.8</v>
          </cell>
          <cell r="L121">
            <v>161.1</v>
          </cell>
          <cell r="M121">
            <v>13.7</v>
          </cell>
          <cell r="N121">
            <v>19.100000000000001</v>
          </cell>
          <cell r="O121">
            <v>144.5</v>
          </cell>
          <cell r="P121">
            <v>141.30000000000001</v>
          </cell>
          <cell r="Q121">
            <v>3.2</v>
          </cell>
        </row>
        <row r="122">
          <cell r="C122" t="str">
            <v>小売業</v>
          </cell>
          <cell r="F122">
            <v>17</v>
          </cell>
          <cell r="G122">
            <v>120.1</v>
          </cell>
          <cell r="H122">
            <v>112.9</v>
          </cell>
          <cell r="I122">
            <v>7.2</v>
          </cell>
          <cell r="J122">
            <v>17.8</v>
          </cell>
          <cell r="K122">
            <v>137.9</v>
          </cell>
          <cell r="L122">
            <v>126.2</v>
          </cell>
          <cell r="M122">
            <v>11.7</v>
          </cell>
          <cell r="N122">
            <v>16.5</v>
          </cell>
          <cell r="O122">
            <v>107.4</v>
          </cell>
          <cell r="P122">
            <v>103.4</v>
          </cell>
          <cell r="Q122">
            <v>4</v>
          </cell>
        </row>
        <row r="123">
          <cell r="C123" t="str">
            <v>宿泊業</v>
          </cell>
          <cell r="F123">
            <v>18.5</v>
          </cell>
          <cell r="G123">
            <v>119.9</v>
          </cell>
          <cell r="H123">
            <v>112.7</v>
          </cell>
          <cell r="I123">
            <v>7.2</v>
          </cell>
          <cell r="J123">
            <v>18.7</v>
          </cell>
          <cell r="K123">
            <v>134.19999999999999</v>
          </cell>
          <cell r="L123">
            <v>123</v>
          </cell>
          <cell r="M123">
            <v>11.2</v>
          </cell>
          <cell r="N123">
            <v>18.399999999999999</v>
          </cell>
          <cell r="O123">
            <v>111.8</v>
          </cell>
          <cell r="P123">
            <v>106.9</v>
          </cell>
          <cell r="Q123">
            <v>4.9000000000000004</v>
          </cell>
        </row>
        <row r="124">
          <cell r="C124" t="str">
            <v>Ｍ一括分</v>
          </cell>
          <cell r="F124">
            <v>13.2</v>
          </cell>
          <cell r="G124">
            <v>70.599999999999994</v>
          </cell>
          <cell r="H124">
            <v>68.3</v>
          </cell>
          <cell r="I124">
            <v>2.2999999999999998</v>
          </cell>
          <cell r="J124">
            <v>14.5</v>
          </cell>
          <cell r="K124">
            <v>85</v>
          </cell>
          <cell r="L124">
            <v>79.2</v>
          </cell>
          <cell r="M124">
            <v>5.8</v>
          </cell>
          <cell r="N124">
            <v>12.5</v>
          </cell>
          <cell r="O124">
            <v>63.5</v>
          </cell>
          <cell r="P124">
            <v>62.9</v>
          </cell>
          <cell r="Q124">
            <v>0.6</v>
          </cell>
        </row>
        <row r="125">
          <cell r="C125" t="str">
            <v>医療業</v>
          </cell>
          <cell r="F125">
            <v>19.5</v>
          </cell>
          <cell r="G125">
            <v>145</v>
          </cell>
          <cell r="H125">
            <v>139.9</v>
          </cell>
          <cell r="I125">
            <v>5.0999999999999996</v>
          </cell>
          <cell r="J125">
            <v>19.8</v>
          </cell>
          <cell r="K125">
            <v>152.9</v>
          </cell>
          <cell r="L125">
            <v>146.5</v>
          </cell>
          <cell r="M125">
            <v>6.4</v>
          </cell>
          <cell r="N125">
            <v>19.399999999999999</v>
          </cell>
          <cell r="O125">
            <v>142.9</v>
          </cell>
          <cell r="P125">
            <v>138.1</v>
          </cell>
          <cell r="Q125">
            <v>4.8</v>
          </cell>
        </row>
        <row r="126">
          <cell r="C126" t="str">
            <v>Ｐ一括分</v>
          </cell>
          <cell r="F126">
            <v>18.2</v>
          </cell>
          <cell r="G126">
            <v>140.19999999999999</v>
          </cell>
          <cell r="H126">
            <v>136.5</v>
          </cell>
          <cell r="I126">
            <v>3.7</v>
          </cell>
          <cell r="J126">
            <v>19.100000000000001</v>
          </cell>
          <cell r="K126">
            <v>147.5</v>
          </cell>
          <cell r="L126">
            <v>144.6</v>
          </cell>
          <cell r="M126">
            <v>2.9</v>
          </cell>
          <cell r="N126">
            <v>17.899999999999999</v>
          </cell>
          <cell r="O126">
            <v>137.5</v>
          </cell>
          <cell r="P126">
            <v>133.5</v>
          </cell>
          <cell r="Q126">
            <v>4</v>
          </cell>
        </row>
        <row r="127">
          <cell r="C127" t="str">
            <v>職業紹介・派遣業</v>
          </cell>
          <cell r="F127">
            <v>18.5</v>
          </cell>
          <cell r="G127">
            <v>150.69999999999999</v>
          </cell>
          <cell r="H127">
            <v>142.4</v>
          </cell>
          <cell r="I127">
            <v>8.3000000000000007</v>
          </cell>
          <cell r="J127">
            <v>18.8</v>
          </cell>
          <cell r="K127">
            <v>164.4</v>
          </cell>
          <cell r="L127">
            <v>152.30000000000001</v>
          </cell>
          <cell r="M127">
            <v>12.1</v>
          </cell>
          <cell r="N127">
            <v>18.2</v>
          </cell>
          <cell r="O127">
            <v>138.69999999999999</v>
          </cell>
          <cell r="P127">
            <v>133.80000000000001</v>
          </cell>
          <cell r="Q127">
            <v>4.9000000000000004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18.5</v>
          </cell>
          <cell r="G129">
            <v>137.80000000000001</v>
          </cell>
          <cell r="H129">
            <v>130.30000000000001</v>
          </cell>
          <cell r="I129">
            <v>7.5</v>
          </cell>
          <cell r="J129">
            <v>19.100000000000001</v>
          </cell>
          <cell r="K129">
            <v>150.69999999999999</v>
          </cell>
          <cell r="L129">
            <v>140.1</v>
          </cell>
          <cell r="M129">
            <v>10.6</v>
          </cell>
          <cell r="N129">
            <v>17.7</v>
          </cell>
          <cell r="O129">
            <v>121.5</v>
          </cell>
          <cell r="P129">
            <v>117.9</v>
          </cell>
          <cell r="Q129">
            <v>3.6</v>
          </cell>
        </row>
        <row r="130">
          <cell r="C130" t="str">
            <v>特掲産業１</v>
          </cell>
          <cell r="F130">
            <v>16.8</v>
          </cell>
          <cell r="G130">
            <v>127.7</v>
          </cell>
          <cell r="H130">
            <v>125.3</v>
          </cell>
          <cell r="I130">
            <v>2.4</v>
          </cell>
          <cell r="J130">
            <v>16.399999999999999</v>
          </cell>
          <cell r="K130">
            <v>124.9</v>
          </cell>
          <cell r="L130">
            <v>122.4</v>
          </cell>
          <cell r="M130">
            <v>2.5</v>
          </cell>
          <cell r="N130">
            <v>18.3</v>
          </cell>
          <cell r="O130">
            <v>136.80000000000001</v>
          </cell>
          <cell r="P130">
            <v>134.4</v>
          </cell>
          <cell r="Q130">
            <v>2.4</v>
          </cell>
        </row>
        <row r="131">
          <cell r="C131" t="str">
            <v>特掲産業２</v>
          </cell>
          <cell r="F131">
            <v>21.1</v>
          </cell>
          <cell r="G131">
            <v>168.7</v>
          </cell>
          <cell r="H131">
            <v>157.5</v>
          </cell>
          <cell r="I131">
            <v>11.2</v>
          </cell>
          <cell r="J131">
            <v>21.4</v>
          </cell>
          <cell r="K131">
            <v>175.1</v>
          </cell>
          <cell r="L131">
            <v>160.80000000000001</v>
          </cell>
          <cell r="M131">
            <v>14.3</v>
          </cell>
          <cell r="N131">
            <v>19.899999999999999</v>
          </cell>
          <cell r="O131">
            <v>147.80000000000001</v>
          </cell>
          <cell r="P131">
            <v>146.80000000000001</v>
          </cell>
          <cell r="Q131">
            <v>1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4.0999999999999996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2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ｘ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1498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18.100000000000001</v>
          </cell>
          <cell r="G10">
            <v>140.80000000000001</v>
          </cell>
          <cell r="H10">
            <v>130.6</v>
          </cell>
          <cell r="I10">
            <v>10.199999999999999</v>
          </cell>
          <cell r="J10">
            <v>18.5</v>
          </cell>
          <cell r="K10">
            <v>153.30000000000001</v>
          </cell>
          <cell r="L10">
            <v>138.9</v>
          </cell>
          <cell r="M10">
            <v>14.4</v>
          </cell>
          <cell r="N10">
            <v>17.600000000000001</v>
          </cell>
          <cell r="O10">
            <v>128.69999999999999</v>
          </cell>
          <cell r="P10">
            <v>122.5</v>
          </cell>
          <cell r="Q10">
            <v>6.2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20.100000000000001</v>
          </cell>
          <cell r="G12">
            <v>162.69999999999999</v>
          </cell>
          <cell r="H12">
            <v>149.19999999999999</v>
          </cell>
          <cell r="I12">
            <v>13.5</v>
          </cell>
          <cell r="J12">
            <v>20.6</v>
          </cell>
          <cell r="K12">
            <v>168.3</v>
          </cell>
          <cell r="L12">
            <v>152.69999999999999</v>
          </cell>
          <cell r="M12">
            <v>15.6</v>
          </cell>
          <cell r="N12">
            <v>18</v>
          </cell>
          <cell r="O12">
            <v>139</v>
          </cell>
          <cell r="P12">
            <v>134.19999999999999</v>
          </cell>
          <cell r="Q12">
            <v>4.8</v>
          </cell>
        </row>
        <row r="13">
          <cell r="C13" t="str">
            <v>製造業</v>
          </cell>
          <cell r="F13">
            <v>19.100000000000001</v>
          </cell>
          <cell r="G13">
            <v>158.1</v>
          </cell>
          <cell r="H13">
            <v>145</v>
          </cell>
          <cell r="I13">
            <v>13.1</v>
          </cell>
          <cell r="J13">
            <v>19.399999999999999</v>
          </cell>
          <cell r="K13">
            <v>164.7</v>
          </cell>
          <cell r="L13">
            <v>148.69999999999999</v>
          </cell>
          <cell r="M13">
            <v>16</v>
          </cell>
          <cell r="N13">
            <v>18.8</v>
          </cell>
          <cell r="O13">
            <v>147.1</v>
          </cell>
          <cell r="P13">
            <v>138.9</v>
          </cell>
          <cell r="Q13">
            <v>8.1999999999999993</v>
          </cell>
        </row>
        <row r="14">
          <cell r="C14" t="str">
            <v>電気・ガス・熱供給・水道業</v>
          </cell>
          <cell r="F14">
            <v>17.100000000000001</v>
          </cell>
          <cell r="G14">
            <v>139.4</v>
          </cell>
          <cell r="H14">
            <v>126.3</v>
          </cell>
          <cell r="I14">
            <v>13.1</v>
          </cell>
          <cell r="J14">
            <v>17.100000000000001</v>
          </cell>
          <cell r="K14">
            <v>142</v>
          </cell>
          <cell r="L14">
            <v>127.7</v>
          </cell>
          <cell r="M14">
            <v>14.3</v>
          </cell>
          <cell r="N14">
            <v>16.7</v>
          </cell>
          <cell r="O14">
            <v>124.1</v>
          </cell>
          <cell r="P14">
            <v>118.1</v>
          </cell>
          <cell r="Q14">
            <v>6</v>
          </cell>
        </row>
        <row r="15">
          <cell r="C15" t="str">
            <v>情報通信業</v>
          </cell>
          <cell r="F15">
            <v>17.8</v>
          </cell>
          <cell r="G15">
            <v>150.5</v>
          </cell>
          <cell r="H15">
            <v>138.19999999999999</v>
          </cell>
          <cell r="I15">
            <v>12.3</v>
          </cell>
          <cell r="J15">
            <v>18</v>
          </cell>
          <cell r="K15">
            <v>153.1</v>
          </cell>
          <cell r="L15">
            <v>139.80000000000001</v>
          </cell>
          <cell r="M15">
            <v>13.3</v>
          </cell>
          <cell r="N15">
            <v>17.3</v>
          </cell>
          <cell r="O15">
            <v>144.30000000000001</v>
          </cell>
          <cell r="P15">
            <v>134.4</v>
          </cell>
          <cell r="Q15">
            <v>9.9</v>
          </cell>
        </row>
        <row r="16">
          <cell r="C16" t="str">
            <v>運輸業，郵便業</v>
          </cell>
          <cell r="F16">
            <v>19</v>
          </cell>
          <cell r="G16">
            <v>161.4</v>
          </cell>
          <cell r="H16">
            <v>138.19999999999999</v>
          </cell>
          <cell r="I16">
            <v>23.2</v>
          </cell>
          <cell r="J16">
            <v>19.3</v>
          </cell>
          <cell r="K16">
            <v>166.2</v>
          </cell>
          <cell r="L16">
            <v>140.19999999999999</v>
          </cell>
          <cell r="M16">
            <v>26</v>
          </cell>
          <cell r="N16">
            <v>17.399999999999999</v>
          </cell>
          <cell r="O16">
            <v>133.19999999999999</v>
          </cell>
          <cell r="P16">
            <v>126.3</v>
          </cell>
          <cell r="Q16">
            <v>6.9</v>
          </cell>
        </row>
        <row r="17">
          <cell r="C17" t="str">
            <v>卸売業，小売業</v>
          </cell>
          <cell r="F17">
            <v>18.2</v>
          </cell>
          <cell r="G17">
            <v>125.7</v>
          </cell>
          <cell r="H17">
            <v>119</v>
          </cell>
          <cell r="I17">
            <v>6.7</v>
          </cell>
          <cell r="J17">
            <v>18.8</v>
          </cell>
          <cell r="K17">
            <v>145.69999999999999</v>
          </cell>
          <cell r="L17">
            <v>134.6</v>
          </cell>
          <cell r="M17">
            <v>11.1</v>
          </cell>
          <cell r="N17">
            <v>17.899999999999999</v>
          </cell>
          <cell r="O17">
            <v>112.3</v>
          </cell>
          <cell r="P17">
            <v>108.6</v>
          </cell>
          <cell r="Q17">
            <v>3.7</v>
          </cell>
        </row>
        <row r="18">
          <cell r="C18" t="str">
            <v>金融業，保険業</v>
          </cell>
          <cell r="F18" t="str">
            <v>#17.8</v>
          </cell>
          <cell r="G18" t="str">
            <v>#130.5</v>
          </cell>
          <cell r="H18" t="str">
            <v>#128.6</v>
          </cell>
          <cell r="I18" t="str">
            <v>#1.9</v>
          </cell>
          <cell r="J18" t="str">
            <v>#17.7</v>
          </cell>
          <cell r="K18" t="str">
            <v>#130.3</v>
          </cell>
          <cell r="L18" t="str">
            <v>#128.4</v>
          </cell>
          <cell r="M18" t="str">
            <v>#1.9</v>
          </cell>
          <cell r="N18" t="str">
            <v>#18</v>
          </cell>
          <cell r="O18" t="str">
            <v>#131.1</v>
          </cell>
          <cell r="P18" t="str">
            <v>#129.1</v>
          </cell>
          <cell r="Q18" t="str">
            <v>#2</v>
          </cell>
        </row>
        <row r="19">
          <cell r="C19" t="str">
            <v>不動産業，物品賃貸業</v>
          </cell>
          <cell r="F19">
            <v>18.600000000000001</v>
          </cell>
          <cell r="G19">
            <v>140</v>
          </cell>
          <cell r="H19">
            <v>136.1</v>
          </cell>
          <cell r="I19">
            <v>3.9</v>
          </cell>
          <cell r="J19">
            <v>18.899999999999999</v>
          </cell>
          <cell r="K19">
            <v>149.30000000000001</v>
          </cell>
          <cell r="L19">
            <v>145.1</v>
          </cell>
          <cell r="M19">
            <v>4.2</v>
          </cell>
          <cell r="N19">
            <v>18</v>
          </cell>
          <cell r="O19">
            <v>124.8</v>
          </cell>
          <cell r="P19">
            <v>121.3</v>
          </cell>
          <cell r="Q19">
            <v>3.5</v>
          </cell>
        </row>
        <row r="20">
          <cell r="C20" t="str">
            <v>学術研究，専門・技術サービス業</v>
          </cell>
          <cell r="F20">
            <v>18</v>
          </cell>
          <cell r="G20">
            <v>156.30000000000001</v>
          </cell>
          <cell r="H20">
            <v>140.1</v>
          </cell>
          <cell r="I20">
            <v>16.2</v>
          </cell>
          <cell r="J20">
            <v>18.100000000000001</v>
          </cell>
          <cell r="K20">
            <v>160.19999999999999</v>
          </cell>
          <cell r="L20">
            <v>142.5</v>
          </cell>
          <cell r="M20">
            <v>17.7</v>
          </cell>
          <cell r="N20">
            <v>17.5</v>
          </cell>
          <cell r="O20">
            <v>142.1</v>
          </cell>
          <cell r="P20">
            <v>131.5</v>
          </cell>
          <cell r="Q20">
            <v>10.6</v>
          </cell>
        </row>
        <row r="21">
          <cell r="C21" t="str">
            <v>宿泊業，飲食サービス業</v>
          </cell>
          <cell r="F21">
            <v>14.8</v>
          </cell>
          <cell r="G21">
            <v>94.8</v>
          </cell>
          <cell r="H21">
            <v>89.8</v>
          </cell>
          <cell r="I21">
            <v>5</v>
          </cell>
          <cell r="J21">
            <v>15.4</v>
          </cell>
          <cell r="K21">
            <v>105.6</v>
          </cell>
          <cell r="L21">
            <v>97.6</v>
          </cell>
          <cell r="M21">
            <v>8</v>
          </cell>
          <cell r="N21">
            <v>14.5</v>
          </cell>
          <cell r="O21">
            <v>88.9</v>
          </cell>
          <cell r="P21">
            <v>85.5</v>
          </cell>
          <cell r="Q21">
            <v>3.4</v>
          </cell>
        </row>
        <row r="22">
          <cell r="C22" t="str">
            <v>生活関連サービス業，娯楽業</v>
          </cell>
          <cell r="F22">
            <v>16</v>
          </cell>
          <cell r="G22">
            <v>131.9</v>
          </cell>
          <cell r="H22">
            <v>124.5</v>
          </cell>
          <cell r="I22">
            <v>7.4</v>
          </cell>
          <cell r="J22">
            <v>16.2</v>
          </cell>
          <cell r="K22">
            <v>139.80000000000001</v>
          </cell>
          <cell r="L22">
            <v>130.30000000000001</v>
          </cell>
          <cell r="M22">
            <v>9.5</v>
          </cell>
          <cell r="N22">
            <v>15.7</v>
          </cell>
          <cell r="O22">
            <v>119.2</v>
          </cell>
          <cell r="P22">
            <v>115.1</v>
          </cell>
          <cell r="Q22">
            <v>4.0999999999999996</v>
          </cell>
        </row>
        <row r="23">
          <cell r="C23" t="str">
            <v>教育，学習支援業</v>
          </cell>
          <cell r="F23">
            <v>17.3</v>
          </cell>
          <cell r="G23">
            <v>148.80000000000001</v>
          </cell>
          <cell r="H23">
            <v>127.3</v>
          </cell>
          <cell r="I23">
            <v>21.5</v>
          </cell>
          <cell r="J23">
            <v>17.600000000000001</v>
          </cell>
          <cell r="K23">
            <v>157.9</v>
          </cell>
          <cell r="L23">
            <v>131.6</v>
          </cell>
          <cell r="M23">
            <v>26.3</v>
          </cell>
          <cell r="N23">
            <v>17.100000000000001</v>
          </cell>
          <cell r="O23">
            <v>140.6</v>
          </cell>
          <cell r="P23">
            <v>123.4</v>
          </cell>
          <cell r="Q23">
            <v>17.2</v>
          </cell>
        </row>
        <row r="24">
          <cell r="C24" t="str">
            <v>医療，福祉</v>
          </cell>
          <cell r="F24">
            <v>18</v>
          </cell>
          <cell r="G24">
            <v>135.19999999999999</v>
          </cell>
          <cell r="H24">
            <v>130.30000000000001</v>
          </cell>
          <cell r="I24">
            <v>4.9000000000000004</v>
          </cell>
          <cell r="J24">
            <v>18.2</v>
          </cell>
          <cell r="K24">
            <v>142.19999999999999</v>
          </cell>
          <cell r="L24">
            <v>136.30000000000001</v>
          </cell>
          <cell r="M24">
            <v>5.9</v>
          </cell>
          <cell r="N24">
            <v>17.899999999999999</v>
          </cell>
          <cell r="O24">
            <v>132.69999999999999</v>
          </cell>
          <cell r="P24">
            <v>128.1</v>
          </cell>
          <cell r="Q24">
            <v>4.5999999999999996</v>
          </cell>
        </row>
        <row r="25">
          <cell r="C25" t="str">
            <v>複合サービス事業</v>
          </cell>
          <cell r="F25">
            <v>17.8</v>
          </cell>
          <cell r="G25">
            <v>141.1</v>
          </cell>
          <cell r="H25">
            <v>136.9</v>
          </cell>
          <cell r="I25">
            <v>4.2</v>
          </cell>
          <cell r="J25">
            <v>18</v>
          </cell>
          <cell r="K25">
            <v>144.30000000000001</v>
          </cell>
          <cell r="L25">
            <v>140.80000000000001</v>
          </cell>
          <cell r="M25">
            <v>3.5</v>
          </cell>
          <cell r="N25">
            <v>17.600000000000001</v>
          </cell>
          <cell r="O25">
            <v>136.4</v>
          </cell>
          <cell r="P25">
            <v>131.30000000000001</v>
          </cell>
          <cell r="Q25">
            <v>5.0999999999999996</v>
          </cell>
        </row>
        <row r="26">
          <cell r="C26" t="str">
            <v>サービス業（他に分類されないもの）</v>
          </cell>
          <cell r="F26">
            <v>17.5</v>
          </cell>
          <cell r="G26">
            <v>132.6</v>
          </cell>
          <cell r="H26">
            <v>124.1</v>
          </cell>
          <cell r="I26">
            <v>8.5</v>
          </cell>
          <cell r="J26">
            <v>17.899999999999999</v>
          </cell>
          <cell r="K26">
            <v>149.80000000000001</v>
          </cell>
          <cell r="L26">
            <v>137.4</v>
          </cell>
          <cell r="M26">
            <v>12.4</v>
          </cell>
          <cell r="N26">
            <v>17.100000000000001</v>
          </cell>
          <cell r="O26">
            <v>115.5</v>
          </cell>
          <cell r="P26">
            <v>110.8</v>
          </cell>
          <cell r="Q26">
            <v>4.7</v>
          </cell>
        </row>
        <row r="27">
          <cell r="C27" t="str">
            <v>食料品・たばこ</v>
          </cell>
          <cell r="F27">
            <v>19.2</v>
          </cell>
          <cell r="G27">
            <v>152.80000000000001</v>
          </cell>
          <cell r="H27">
            <v>142.19999999999999</v>
          </cell>
          <cell r="I27">
            <v>10.6</v>
          </cell>
          <cell r="J27">
            <v>19.7</v>
          </cell>
          <cell r="K27">
            <v>165.4</v>
          </cell>
          <cell r="L27">
            <v>151.4</v>
          </cell>
          <cell r="M27">
            <v>14</v>
          </cell>
          <cell r="N27">
            <v>18.7</v>
          </cell>
          <cell r="O27">
            <v>141</v>
          </cell>
          <cell r="P27">
            <v>133.6</v>
          </cell>
          <cell r="Q27">
            <v>7.4</v>
          </cell>
        </row>
        <row r="28">
          <cell r="C28" t="str">
            <v>繊維工業</v>
          </cell>
          <cell r="F28">
            <v>19.8</v>
          </cell>
          <cell r="G28">
            <v>167.3</v>
          </cell>
          <cell r="H28">
            <v>150.6</v>
          </cell>
          <cell r="I28">
            <v>16.7</v>
          </cell>
          <cell r="J28">
            <v>19</v>
          </cell>
          <cell r="K28">
            <v>157.9</v>
          </cell>
          <cell r="L28">
            <v>143.6</v>
          </cell>
          <cell r="M28">
            <v>14.3</v>
          </cell>
          <cell r="N28">
            <v>20.399999999999999</v>
          </cell>
          <cell r="O28">
            <v>174.3</v>
          </cell>
          <cell r="P28">
            <v>155.80000000000001</v>
          </cell>
          <cell r="Q28">
            <v>18.5</v>
          </cell>
        </row>
        <row r="29">
          <cell r="C29" t="str">
            <v>木材・木製品</v>
          </cell>
          <cell r="F29">
            <v>19.3</v>
          </cell>
          <cell r="G29">
            <v>155.30000000000001</v>
          </cell>
          <cell r="H29">
            <v>142.80000000000001</v>
          </cell>
          <cell r="I29">
            <v>12.5</v>
          </cell>
          <cell r="J29">
            <v>19.100000000000001</v>
          </cell>
          <cell r="K29">
            <v>159.69999999999999</v>
          </cell>
          <cell r="L29">
            <v>145.19999999999999</v>
          </cell>
          <cell r="M29">
            <v>14.5</v>
          </cell>
          <cell r="N29">
            <v>20.100000000000001</v>
          </cell>
          <cell r="O29">
            <v>135.5</v>
          </cell>
          <cell r="P29">
            <v>132.1</v>
          </cell>
          <cell r="Q29">
            <v>3.4</v>
          </cell>
        </row>
        <row r="30">
          <cell r="C30" t="str">
            <v>家具・装備品</v>
          </cell>
          <cell r="F30" t="str">
            <v>#21.9</v>
          </cell>
          <cell r="G30" t="str">
            <v>#163.5</v>
          </cell>
          <cell r="H30" t="str">
            <v>#163.5</v>
          </cell>
          <cell r="I30" t="str">
            <v>#0</v>
          </cell>
          <cell r="J30" t="str">
            <v>#21.8</v>
          </cell>
          <cell r="K30" t="str">
            <v>#167.9</v>
          </cell>
          <cell r="L30" t="str">
            <v>#167.9</v>
          </cell>
          <cell r="M30" t="str">
            <v>#0</v>
          </cell>
          <cell r="N30" t="str">
            <v>#22</v>
          </cell>
          <cell r="O30" t="str">
            <v>#151.5</v>
          </cell>
          <cell r="P30" t="str">
            <v>#151.5</v>
          </cell>
          <cell r="Q30" t="str">
            <v>#0</v>
          </cell>
        </row>
        <row r="31">
          <cell r="C31" t="str">
            <v>パルプ・紙</v>
          </cell>
          <cell r="F31" t="str">
            <v>#22.2</v>
          </cell>
          <cell r="G31" t="str">
            <v>#173.6</v>
          </cell>
          <cell r="H31" t="str">
            <v>#165.3</v>
          </cell>
          <cell r="I31" t="str">
            <v>#8.3</v>
          </cell>
          <cell r="J31" t="str">
            <v>#22.9</v>
          </cell>
          <cell r="K31" t="str">
            <v>#179.4</v>
          </cell>
          <cell r="L31" t="str">
            <v>#168.7</v>
          </cell>
          <cell r="M31" t="str">
            <v>#10.7</v>
          </cell>
          <cell r="N31" t="str">
            <v>#20.4</v>
          </cell>
          <cell r="O31" t="str">
            <v>#156.7</v>
          </cell>
          <cell r="P31" t="str">
            <v>#155.6</v>
          </cell>
          <cell r="Q31" t="str">
            <v>#1.1</v>
          </cell>
        </row>
        <row r="32">
          <cell r="C32" t="str">
            <v>印刷・同関連業</v>
          </cell>
          <cell r="F32">
            <v>17.899999999999999</v>
          </cell>
          <cell r="G32">
            <v>140.5</v>
          </cell>
          <cell r="H32">
            <v>132.30000000000001</v>
          </cell>
          <cell r="I32">
            <v>8.1999999999999993</v>
          </cell>
          <cell r="J32">
            <v>18</v>
          </cell>
          <cell r="K32">
            <v>141</v>
          </cell>
          <cell r="L32">
            <v>131.80000000000001</v>
          </cell>
          <cell r="M32">
            <v>9.1999999999999993</v>
          </cell>
          <cell r="N32">
            <v>17.899999999999999</v>
          </cell>
          <cell r="O32">
            <v>138.80000000000001</v>
          </cell>
          <cell r="P32">
            <v>133.4</v>
          </cell>
          <cell r="Q32">
            <v>5.4</v>
          </cell>
        </row>
        <row r="33">
          <cell r="C33" t="str">
            <v>化学、石油・石炭</v>
          </cell>
          <cell r="F33">
            <v>19.100000000000001</v>
          </cell>
          <cell r="G33">
            <v>157.1</v>
          </cell>
          <cell r="H33">
            <v>140</v>
          </cell>
          <cell r="I33">
            <v>17.100000000000001</v>
          </cell>
          <cell r="J33">
            <v>19.100000000000001</v>
          </cell>
          <cell r="K33">
            <v>158.19999999999999</v>
          </cell>
          <cell r="L33">
            <v>140.1</v>
          </cell>
          <cell r="M33">
            <v>18.100000000000001</v>
          </cell>
          <cell r="N33">
            <v>18.7</v>
          </cell>
          <cell r="O33">
            <v>142.69999999999999</v>
          </cell>
          <cell r="P33">
            <v>137.9</v>
          </cell>
          <cell r="Q33">
            <v>4.8</v>
          </cell>
        </row>
        <row r="34">
          <cell r="C34" t="str">
            <v>プラスチック製品</v>
          </cell>
          <cell r="F34">
            <v>18.399999999999999</v>
          </cell>
          <cell r="G34">
            <v>145.5</v>
          </cell>
          <cell r="H34">
            <v>137.6</v>
          </cell>
          <cell r="I34">
            <v>7.9</v>
          </cell>
          <cell r="J34">
            <v>18.7</v>
          </cell>
          <cell r="K34">
            <v>155.1</v>
          </cell>
          <cell r="L34">
            <v>144.69999999999999</v>
          </cell>
          <cell r="M34">
            <v>10.4</v>
          </cell>
          <cell r="N34">
            <v>17.5</v>
          </cell>
          <cell r="O34">
            <v>120</v>
          </cell>
          <cell r="P34">
            <v>118.7</v>
          </cell>
          <cell r="Q34">
            <v>1.3</v>
          </cell>
        </row>
        <row r="35">
          <cell r="C35" t="str">
            <v>ゴム製品</v>
          </cell>
          <cell r="F35">
            <v>19.399999999999999</v>
          </cell>
          <cell r="G35">
            <v>165.2</v>
          </cell>
          <cell r="H35">
            <v>143.19999999999999</v>
          </cell>
          <cell r="I35">
            <v>22</v>
          </cell>
          <cell r="J35">
            <v>19.399999999999999</v>
          </cell>
          <cell r="K35">
            <v>165.8</v>
          </cell>
          <cell r="L35">
            <v>142.1</v>
          </cell>
          <cell r="M35">
            <v>23.7</v>
          </cell>
          <cell r="N35">
            <v>19.8</v>
          </cell>
          <cell r="O35">
            <v>161.1</v>
          </cell>
          <cell r="P35">
            <v>150.4</v>
          </cell>
          <cell r="Q35">
            <v>10.7</v>
          </cell>
        </row>
        <row r="36">
          <cell r="C36" t="str">
            <v>窯業・土石製品</v>
          </cell>
          <cell r="F36">
            <v>21.1</v>
          </cell>
          <cell r="G36">
            <v>171.2</v>
          </cell>
          <cell r="H36">
            <v>160.30000000000001</v>
          </cell>
          <cell r="I36">
            <v>10.9</v>
          </cell>
          <cell r="J36">
            <v>21.8</v>
          </cell>
          <cell r="K36">
            <v>183.9</v>
          </cell>
          <cell r="L36">
            <v>170.1</v>
          </cell>
          <cell r="M36">
            <v>13.8</v>
          </cell>
          <cell r="N36">
            <v>19.3</v>
          </cell>
          <cell r="O36">
            <v>133.69999999999999</v>
          </cell>
          <cell r="P36">
            <v>131.30000000000001</v>
          </cell>
          <cell r="Q36">
            <v>2.4</v>
          </cell>
        </row>
        <row r="37">
          <cell r="C37" t="str">
            <v>鉄鋼業</v>
          </cell>
          <cell r="F37" t="str">
            <v>#17.9</v>
          </cell>
          <cell r="G37" t="str">
            <v>#165.2</v>
          </cell>
          <cell r="H37" t="str">
            <v>#141.1</v>
          </cell>
          <cell r="I37" t="str">
            <v>#24.1</v>
          </cell>
          <cell r="J37" t="str">
            <v>#18</v>
          </cell>
          <cell r="K37" t="str">
            <v>#166.5</v>
          </cell>
          <cell r="L37" t="str">
            <v>#141.8</v>
          </cell>
          <cell r="M37" t="str">
            <v>#24.7</v>
          </cell>
          <cell r="N37" t="str">
            <v>#16.6</v>
          </cell>
          <cell r="O37" t="str">
            <v>#146.9</v>
          </cell>
          <cell r="P37" t="str">
            <v>#131.3</v>
          </cell>
          <cell r="Q37" t="str">
            <v>#15.6</v>
          </cell>
        </row>
        <row r="38">
          <cell r="C38" t="str">
            <v>非鉄金属製造業</v>
          </cell>
          <cell r="F38" t="str">
            <v>#17.5</v>
          </cell>
          <cell r="G38" t="str">
            <v>#143.4</v>
          </cell>
          <cell r="H38" t="str">
            <v>#142.3</v>
          </cell>
          <cell r="I38" t="str">
            <v>#1.1</v>
          </cell>
          <cell r="J38" t="str">
            <v>#18.8</v>
          </cell>
          <cell r="K38" t="str">
            <v>#159.2</v>
          </cell>
          <cell r="L38" t="str">
            <v>#157.1</v>
          </cell>
          <cell r="M38" t="str">
            <v>#2.1</v>
          </cell>
          <cell r="N38" t="str">
            <v>#16.4</v>
          </cell>
          <cell r="O38" t="str">
            <v>#128.3</v>
          </cell>
          <cell r="P38" t="str">
            <v>#128.1</v>
          </cell>
          <cell r="Q38" t="str">
            <v>#0.2</v>
          </cell>
        </row>
        <row r="39">
          <cell r="C39" t="str">
            <v>金属製品製造業</v>
          </cell>
          <cell r="F39">
            <v>21</v>
          </cell>
          <cell r="G39">
            <v>175.9</v>
          </cell>
          <cell r="H39">
            <v>162.30000000000001</v>
          </cell>
          <cell r="I39">
            <v>13.6</v>
          </cell>
          <cell r="J39">
            <v>21.1</v>
          </cell>
          <cell r="K39">
            <v>181.6</v>
          </cell>
          <cell r="L39">
            <v>164.4</v>
          </cell>
          <cell r="M39">
            <v>17.2</v>
          </cell>
          <cell r="N39">
            <v>20.7</v>
          </cell>
          <cell r="O39">
            <v>159.19999999999999</v>
          </cell>
          <cell r="P39">
            <v>156.1</v>
          </cell>
          <cell r="Q39">
            <v>3.1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18.7</v>
          </cell>
          <cell r="G42">
            <v>155.69999999999999</v>
          </cell>
          <cell r="H42">
            <v>147.1</v>
          </cell>
          <cell r="I42">
            <v>8.6</v>
          </cell>
          <cell r="J42">
            <v>19.5</v>
          </cell>
          <cell r="K42">
            <v>162.19999999999999</v>
          </cell>
          <cell r="L42">
            <v>151.1</v>
          </cell>
          <cell r="M42">
            <v>11.1</v>
          </cell>
          <cell r="N42">
            <v>18</v>
          </cell>
          <cell r="O42">
            <v>149.69999999999999</v>
          </cell>
          <cell r="P42">
            <v>143.4</v>
          </cell>
          <cell r="Q42">
            <v>6.3</v>
          </cell>
        </row>
        <row r="43">
          <cell r="C43" t="str">
            <v>電子・デバイス</v>
          </cell>
          <cell r="F43">
            <v>17.7</v>
          </cell>
          <cell r="G43">
            <v>152.5</v>
          </cell>
          <cell r="H43">
            <v>139.30000000000001</v>
          </cell>
          <cell r="I43">
            <v>13.2</v>
          </cell>
          <cell r="J43">
            <v>17.899999999999999</v>
          </cell>
          <cell r="K43">
            <v>159.9</v>
          </cell>
          <cell r="L43">
            <v>143.19999999999999</v>
          </cell>
          <cell r="M43">
            <v>16.7</v>
          </cell>
          <cell r="N43">
            <v>17.399999999999999</v>
          </cell>
          <cell r="O43">
            <v>138.1</v>
          </cell>
          <cell r="P43">
            <v>131.80000000000001</v>
          </cell>
          <cell r="Q43">
            <v>6.3</v>
          </cell>
        </row>
        <row r="44">
          <cell r="C44" t="str">
            <v>電気機械器具</v>
          </cell>
          <cell r="F44">
            <v>20.2</v>
          </cell>
          <cell r="G44">
            <v>166.9</v>
          </cell>
          <cell r="H44">
            <v>154.80000000000001</v>
          </cell>
          <cell r="I44">
            <v>12.1</v>
          </cell>
          <cell r="J44">
            <v>20.6</v>
          </cell>
          <cell r="K44">
            <v>174.2</v>
          </cell>
          <cell r="L44">
            <v>158.30000000000001</v>
          </cell>
          <cell r="M44">
            <v>15.9</v>
          </cell>
          <cell r="N44">
            <v>19.600000000000001</v>
          </cell>
          <cell r="O44">
            <v>151.6</v>
          </cell>
          <cell r="P44">
            <v>147.5</v>
          </cell>
          <cell r="Q44">
            <v>4.0999999999999996</v>
          </cell>
        </row>
        <row r="45">
          <cell r="C45" t="str">
            <v>情報通信機械器具</v>
          </cell>
          <cell r="F45">
            <v>19.399999999999999</v>
          </cell>
          <cell r="G45">
            <v>168.2</v>
          </cell>
          <cell r="H45">
            <v>147.5</v>
          </cell>
          <cell r="I45">
            <v>20.7</v>
          </cell>
          <cell r="J45">
            <v>19.2</v>
          </cell>
          <cell r="K45">
            <v>170.5</v>
          </cell>
          <cell r="L45">
            <v>147.69999999999999</v>
          </cell>
          <cell r="M45">
            <v>22.8</v>
          </cell>
          <cell r="N45">
            <v>19.600000000000001</v>
          </cell>
          <cell r="O45">
            <v>165.5</v>
          </cell>
          <cell r="P45">
            <v>147.19999999999999</v>
          </cell>
          <cell r="Q45">
            <v>18.3</v>
          </cell>
        </row>
        <row r="46">
          <cell r="C46" t="str">
            <v>輸送用機械器具</v>
          </cell>
          <cell r="F46">
            <v>18</v>
          </cell>
          <cell r="G46">
            <v>162.6</v>
          </cell>
          <cell r="H46">
            <v>145.5</v>
          </cell>
          <cell r="I46">
            <v>17.100000000000001</v>
          </cell>
          <cell r="J46">
            <v>18.100000000000001</v>
          </cell>
          <cell r="K46">
            <v>166.2</v>
          </cell>
          <cell r="L46">
            <v>147.4</v>
          </cell>
          <cell r="M46">
            <v>18.8</v>
          </cell>
          <cell r="N46">
            <v>17.5</v>
          </cell>
          <cell r="O46">
            <v>146.6</v>
          </cell>
          <cell r="P46">
            <v>137.1</v>
          </cell>
          <cell r="Q46">
            <v>9.5</v>
          </cell>
        </row>
        <row r="47">
          <cell r="C47" t="str">
            <v>その他の製造業</v>
          </cell>
          <cell r="F47">
            <v>21.2</v>
          </cell>
          <cell r="G47">
            <v>185.5</v>
          </cell>
          <cell r="H47">
            <v>158.6</v>
          </cell>
          <cell r="I47">
            <v>26.9</v>
          </cell>
          <cell r="J47">
            <v>21.9</v>
          </cell>
          <cell r="K47">
            <v>198.3</v>
          </cell>
          <cell r="L47">
            <v>165.9</v>
          </cell>
          <cell r="M47">
            <v>32.4</v>
          </cell>
          <cell r="N47">
            <v>18.3</v>
          </cell>
          <cell r="O47">
            <v>138.4</v>
          </cell>
          <cell r="P47">
            <v>131.5</v>
          </cell>
          <cell r="Q47">
            <v>6.9</v>
          </cell>
        </row>
        <row r="48">
          <cell r="C48" t="str">
            <v>Ｅ一括分１</v>
          </cell>
          <cell r="F48">
            <v>18.899999999999999</v>
          </cell>
          <cell r="G48">
            <v>164.7</v>
          </cell>
          <cell r="H48">
            <v>152.5</v>
          </cell>
          <cell r="I48">
            <v>12.2</v>
          </cell>
          <cell r="J48">
            <v>19.2</v>
          </cell>
          <cell r="K48">
            <v>171.2</v>
          </cell>
          <cell r="L48">
            <v>155.1</v>
          </cell>
          <cell r="M48">
            <v>16.100000000000001</v>
          </cell>
          <cell r="N48">
            <v>18.399999999999999</v>
          </cell>
          <cell r="O48">
            <v>155.19999999999999</v>
          </cell>
          <cell r="P48">
            <v>148.69999999999999</v>
          </cell>
          <cell r="Q48">
            <v>6.5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18.600000000000001</v>
          </cell>
          <cell r="G51">
            <v>148.30000000000001</v>
          </cell>
          <cell r="H51">
            <v>140.30000000000001</v>
          </cell>
          <cell r="I51">
            <v>8</v>
          </cell>
          <cell r="J51">
            <v>18.5</v>
          </cell>
          <cell r="K51">
            <v>150.4</v>
          </cell>
          <cell r="L51">
            <v>140.1</v>
          </cell>
          <cell r="M51">
            <v>10.3</v>
          </cell>
          <cell r="N51">
            <v>18.899999999999999</v>
          </cell>
          <cell r="O51">
            <v>143.6</v>
          </cell>
          <cell r="P51">
            <v>140.80000000000001</v>
          </cell>
          <cell r="Q51">
            <v>2.8</v>
          </cell>
        </row>
        <row r="52">
          <cell r="C52" t="str">
            <v>小売業</v>
          </cell>
          <cell r="F52">
            <v>18.2</v>
          </cell>
          <cell r="G52">
            <v>119.2</v>
          </cell>
          <cell r="H52">
            <v>112.9</v>
          </cell>
          <cell r="I52">
            <v>6.3</v>
          </cell>
          <cell r="J52">
            <v>19.100000000000001</v>
          </cell>
          <cell r="K52">
            <v>142.80000000000001</v>
          </cell>
          <cell r="L52">
            <v>131.1</v>
          </cell>
          <cell r="M52">
            <v>11.7</v>
          </cell>
          <cell r="N52">
            <v>17.7</v>
          </cell>
          <cell r="O52">
            <v>108.6</v>
          </cell>
          <cell r="P52">
            <v>104.7</v>
          </cell>
          <cell r="Q52">
            <v>3.9</v>
          </cell>
        </row>
        <row r="53">
          <cell r="C53" t="str">
            <v>宿泊業</v>
          </cell>
          <cell r="F53">
            <v>19.600000000000001</v>
          </cell>
          <cell r="G53">
            <v>131.9</v>
          </cell>
          <cell r="H53">
            <v>123.3</v>
          </cell>
          <cell r="I53">
            <v>8.6</v>
          </cell>
          <cell r="J53">
            <v>20</v>
          </cell>
          <cell r="K53">
            <v>145.1</v>
          </cell>
          <cell r="L53">
            <v>132.69999999999999</v>
          </cell>
          <cell r="M53">
            <v>12.4</v>
          </cell>
          <cell r="N53">
            <v>19.3</v>
          </cell>
          <cell r="O53">
            <v>122.6</v>
          </cell>
          <cell r="P53">
            <v>116.7</v>
          </cell>
          <cell r="Q53">
            <v>5.9</v>
          </cell>
        </row>
        <row r="54">
          <cell r="C54" t="str">
            <v>Ｍ一括分</v>
          </cell>
          <cell r="F54">
            <v>12.3</v>
          </cell>
          <cell r="G54">
            <v>75</v>
          </cell>
          <cell r="H54">
            <v>71.900000000000006</v>
          </cell>
          <cell r="I54">
            <v>3.1</v>
          </cell>
          <cell r="J54">
            <v>12.4</v>
          </cell>
          <cell r="K54">
            <v>79</v>
          </cell>
          <cell r="L54">
            <v>74</v>
          </cell>
          <cell r="M54">
            <v>5</v>
          </cell>
          <cell r="N54">
            <v>12.2</v>
          </cell>
          <cell r="O54">
            <v>73.099999999999994</v>
          </cell>
          <cell r="P54">
            <v>70.900000000000006</v>
          </cell>
          <cell r="Q54">
            <v>2.2000000000000002</v>
          </cell>
        </row>
        <row r="55">
          <cell r="C55" t="str">
            <v>医療業</v>
          </cell>
          <cell r="F55">
            <v>18.399999999999999</v>
          </cell>
          <cell r="G55">
            <v>138.9</v>
          </cell>
          <cell r="H55">
            <v>133</v>
          </cell>
          <cell r="I55">
            <v>5.9</v>
          </cell>
          <cell r="J55">
            <v>18.600000000000001</v>
          </cell>
          <cell r="K55">
            <v>147</v>
          </cell>
          <cell r="L55">
            <v>139.5</v>
          </cell>
          <cell r="M55">
            <v>7.5</v>
          </cell>
          <cell r="N55">
            <v>18.3</v>
          </cell>
          <cell r="O55">
            <v>136.19999999999999</v>
          </cell>
          <cell r="P55">
            <v>130.9</v>
          </cell>
          <cell r="Q55">
            <v>5.3</v>
          </cell>
        </row>
        <row r="56">
          <cell r="C56" t="str">
            <v>Ｐ一括分</v>
          </cell>
          <cell r="F56">
            <v>17.5</v>
          </cell>
          <cell r="G56">
            <v>130.4</v>
          </cell>
          <cell r="H56">
            <v>126.7</v>
          </cell>
          <cell r="I56">
            <v>3.7</v>
          </cell>
          <cell r="J56">
            <v>17.8</v>
          </cell>
          <cell r="K56">
            <v>137.1</v>
          </cell>
          <cell r="L56">
            <v>132.9</v>
          </cell>
          <cell r="M56">
            <v>4.2</v>
          </cell>
          <cell r="N56">
            <v>17.3</v>
          </cell>
          <cell r="O56">
            <v>127.5</v>
          </cell>
          <cell r="P56">
            <v>124</v>
          </cell>
          <cell r="Q56">
            <v>3.5</v>
          </cell>
        </row>
        <row r="57">
          <cell r="C57" t="str">
            <v>職業紹介・派遣業</v>
          </cell>
          <cell r="F57">
            <v>17.3</v>
          </cell>
          <cell r="G57">
            <v>144.1</v>
          </cell>
          <cell r="H57">
            <v>136.6</v>
          </cell>
          <cell r="I57">
            <v>7.5</v>
          </cell>
          <cell r="J57">
            <v>18</v>
          </cell>
          <cell r="K57">
            <v>162.4</v>
          </cell>
          <cell r="L57">
            <v>150.30000000000001</v>
          </cell>
          <cell r="M57">
            <v>12.1</v>
          </cell>
          <cell r="N57">
            <v>16.899999999999999</v>
          </cell>
          <cell r="O57">
            <v>130.5</v>
          </cell>
          <cell r="P57">
            <v>126.4</v>
          </cell>
          <cell r="Q57">
            <v>4.0999999999999996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17.5</v>
          </cell>
          <cell r="G59">
            <v>129.4</v>
          </cell>
          <cell r="H59">
            <v>120.6</v>
          </cell>
          <cell r="I59">
            <v>8.8000000000000007</v>
          </cell>
          <cell r="J59">
            <v>17.899999999999999</v>
          </cell>
          <cell r="K59">
            <v>147</v>
          </cell>
          <cell r="L59">
            <v>134.5</v>
          </cell>
          <cell r="M59">
            <v>12.5</v>
          </cell>
          <cell r="N59">
            <v>17.100000000000001</v>
          </cell>
          <cell r="O59">
            <v>110.4</v>
          </cell>
          <cell r="P59">
            <v>105.6</v>
          </cell>
          <cell r="Q59">
            <v>4.8</v>
          </cell>
        </row>
        <row r="60">
          <cell r="C60" t="str">
            <v>特掲産業１</v>
          </cell>
          <cell r="F60" t="str">
            <v>#14.1</v>
          </cell>
          <cell r="G60" t="str">
            <v>#112.2</v>
          </cell>
          <cell r="H60" t="str">
            <v>#107.3</v>
          </cell>
          <cell r="I60" t="str">
            <v>#4.9</v>
          </cell>
          <cell r="J60" t="str">
            <v>#14.9</v>
          </cell>
          <cell r="K60" t="str">
            <v>#121.6</v>
          </cell>
          <cell r="L60" t="str">
            <v>#115.6</v>
          </cell>
          <cell r="M60" t="str">
            <v>#6</v>
          </cell>
          <cell r="N60" t="str">
            <v>#12.5</v>
          </cell>
          <cell r="O60" t="str">
            <v>#92.5</v>
          </cell>
          <cell r="P60" t="str">
            <v>#90</v>
          </cell>
          <cell r="Q60" t="str">
            <v>#2.5</v>
          </cell>
        </row>
        <row r="61">
          <cell r="C61" t="str">
            <v>特掲産業２</v>
          </cell>
          <cell r="F61" t="str">
            <v>#17.1</v>
          </cell>
          <cell r="G61" t="str">
            <v>#141.9</v>
          </cell>
          <cell r="H61" t="str">
            <v>#134.2</v>
          </cell>
          <cell r="I61" t="str">
            <v>#7.7</v>
          </cell>
          <cell r="J61" t="str">
            <v>#18.9</v>
          </cell>
          <cell r="K61" t="str">
            <v>#160.5</v>
          </cell>
          <cell r="L61" t="str">
            <v>#147.9</v>
          </cell>
          <cell r="M61" t="str">
            <v>#12.6</v>
          </cell>
          <cell r="N61" t="str">
            <v>#15.2</v>
          </cell>
          <cell r="O61" t="str">
            <v>#121.1</v>
          </cell>
          <cell r="P61" t="str">
            <v>#118.8</v>
          </cell>
          <cell r="Q61" t="str">
            <v>#2.3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18.100000000000001</v>
          </cell>
          <cell r="G80">
            <v>137.30000000000001</v>
          </cell>
          <cell r="H80">
            <v>128.4</v>
          </cell>
          <cell r="I80">
            <v>8.9</v>
          </cell>
          <cell r="J80">
            <v>18.600000000000001</v>
          </cell>
          <cell r="K80">
            <v>149.69999999999999</v>
          </cell>
          <cell r="L80">
            <v>136.80000000000001</v>
          </cell>
          <cell r="M80">
            <v>12.9</v>
          </cell>
          <cell r="N80">
            <v>17.600000000000001</v>
          </cell>
          <cell r="O80">
            <v>125.2</v>
          </cell>
          <cell r="P80">
            <v>120.2</v>
          </cell>
          <cell r="Q80">
            <v>5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20.3</v>
          </cell>
          <cell r="G82">
            <v>156.69999999999999</v>
          </cell>
          <cell r="H82">
            <v>148.1</v>
          </cell>
          <cell r="I82">
            <v>8.6</v>
          </cell>
          <cell r="J82">
            <v>20.399999999999999</v>
          </cell>
          <cell r="K82">
            <v>159.80000000000001</v>
          </cell>
          <cell r="L82">
            <v>150.19999999999999</v>
          </cell>
          <cell r="M82">
            <v>9.6</v>
          </cell>
          <cell r="N82">
            <v>19.8</v>
          </cell>
          <cell r="O82">
            <v>139.80000000000001</v>
          </cell>
          <cell r="P82">
            <v>136.4</v>
          </cell>
          <cell r="Q82">
            <v>3.4</v>
          </cell>
        </row>
        <row r="83">
          <cell r="C83" t="str">
            <v>製造業</v>
          </cell>
          <cell r="F83">
            <v>19.2</v>
          </cell>
          <cell r="G83">
            <v>156.4</v>
          </cell>
          <cell r="H83">
            <v>143.9</v>
          </cell>
          <cell r="I83">
            <v>12.5</v>
          </cell>
          <cell r="J83">
            <v>19.399999999999999</v>
          </cell>
          <cell r="K83">
            <v>164.8</v>
          </cell>
          <cell r="L83">
            <v>148.4</v>
          </cell>
          <cell r="M83">
            <v>16.399999999999999</v>
          </cell>
          <cell r="N83">
            <v>18.899999999999999</v>
          </cell>
          <cell r="O83">
            <v>144.6</v>
          </cell>
          <cell r="P83">
            <v>137.6</v>
          </cell>
          <cell r="Q83">
            <v>7</v>
          </cell>
        </row>
        <row r="84">
          <cell r="C84" t="str">
            <v>電気・ガス・熱供給・水道業</v>
          </cell>
          <cell r="F84">
            <v>17.2</v>
          </cell>
          <cell r="G84">
            <v>140.19999999999999</v>
          </cell>
          <cell r="H84">
            <v>127.6</v>
          </cell>
          <cell r="I84">
            <v>12.6</v>
          </cell>
          <cell r="J84">
            <v>17.3</v>
          </cell>
          <cell r="K84">
            <v>142.5</v>
          </cell>
          <cell r="L84">
            <v>128.80000000000001</v>
          </cell>
          <cell r="M84">
            <v>13.7</v>
          </cell>
          <cell r="N84">
            <v>16.8</v>
          </cell>
          <cell r="O84">
            <v>125.1</v>
          </cell>
          <cell r="P84">
            <v>120</v>
          </cell>
          <cell r="Q84">
            <v>5.0999999999999996</v>
          </cell>
        </row>
        <row r="85">
          <cell r="C85" t="str">
            <v>情報通信業</v>
          </cell>
          <cell r="F85">
            <v>18.100000000000001</v>
          </cell>
          <cell r="G85">
            <v>150.4</v>
          </cell>
          <cell r="H85">
            <v>139.6</v>
          </cell>
          <cell r="I85">
            <v>10.8</v>
          </cell>
          <cell r="J85">
            <v>18.3</v>
          </cell>
          <cell r="K85">
            <v>152.5</v>
          </cell>
          <cell r="L85">
            <v>140.69999999999999</v>
          </cell>
          <cell r="M85">
            <v>11.8</v>
          </cell>
          <cell r="N85">
            <v>17.8</v>
          </cell>
          <cell r="O85">
            <v>145.9</v>
          </cell>
          <cell r="P85">
            <v>137.30000000000001</v>
          </cell>
          <cell r="Q85">
            <v>8.6</v>
          </cell>
        </row>
        <row r="86">
          <cell r="C86" t="str">
            <v>運輸業，郵便業</v>
          </cell>
          <cell r="F86">
            <v>19.399999999999999</v>
          </cell>
          <cell r="G86">
            <v>172.7</v>
          </cell>
          <cell r="H86">
            <v>145.1</v>
          </cell>
          <cell r="I86">
            <v>27.6</v>
          </cell>
          <cell r="J86">
            <v>19.899999999999999</v>
          </cell>
          <cell r="K86">
            <v>180.4</v>
          </cell>
          <cell r="L86">
            <v>149</v>
          </cell>
          <cell r="M86">
            <v>31.4</v>
          </cell>
          <cell r="N86">
            <v>17.100000000000001</v>
          </cell>
          <cell r="O86">
            <v>132.30000000000001</v>
          </cell>
          <cell r="P86">
            <v>124.8</v>
          </cell>
          <cell r="Q86">
            <v>7.5</v>
          </cell>
        </row>
        <row r="87">
          <cell r="C87" t="str">
            <v>卸売業，小売業</v>
          </cell>
          <cell r="F87">
            <v>18.100000000000001</v>
          </cell>
          <cell r="G87">
            <v>132.9</v>
          </cell>
          <cell r="H87">
            <v>125.8</v>
          </cell>
          <cell r="I87">
            <v>7.1</v>
          </cell>
          <cell r="J87">
            <v>18.399999999999999</v>
          </cell>
          <cell r="K87">
            <v>147.80000000000001</v>
          </cell>
          <cell r="L87">
            <v>137.6</v>
          </cell>
          <cell r="M87">
            <v>10.199999999999999</v>
          </cell>
          <cell r="N87">
            <v>17.7</v>
          </cell>
          <cell r="O87">
            <v>116.2</v>
          </cell>
          <cell r="P87">
            <v>112.5</v>
          </cell>
          <cell r="Q87">
            <v>3.7</v>
          </cell>
        </row>
        <row r="88">
          <cell r="C88" t="str">
            <v>金融業，保険業</v>
          </cell>
          <cell r="F88">
            <v>16.899999999999999</v>
          </cell>
          <cell r="G88">
            <v>129.6</v>
          </cell>
          <cell r="H88">
            <v>125.3</v>
          </cell>
          <cell r="I88">
            <v>4.3</v>
          </cell>
          <cell r="J88">
            <v>17.399999999999999</v>
          </cell>
          <cell r="K88">
            <v>136.5</v>
          </cell>
          <cell r="L88">
            <v>130.6</v>
          </cell>
          <cell r="M88">
            <v>5.9</v>
          </cell>
          <cell r="N88">
            <v>16.2</v>
          </cell>
          <cell r="O88">
            <v>119.8</v>
          </cell>
          <cell r="P88">
            <v>117.7</v>
          </cell>
          <cell r="Q88">
            <v>2.1</v>
          </cell>
        </row>
        <row r="89">
          <cell r="C89" t="str">
            <v>不動産業，物品賃貸業</v>
          </cell>
          <cell r="F89">
            <v>16</v>
          </cell>
          <cell r="G89">
            <v>108.6</v>
          </cell>
          <cell r="H89">
            <v>105.8</v>
          </cell>
          <cell r="I89">
            <v>2.8</v>
          </cell>
          <cell r="J89">
            <v>19.600000000000001</v>
          </cell>
          <cell r="K89">
            <v>155</v>
          </cell>
          <cell r="L89">
            <v>148.80000000000001</v>
          </cell>
          <cell r="M89">
            <v>6.2</v>
          </cell>
          <cell r="N89">
            <v>13.9</v>
          </cell>
          <cell r="O89">
            <v>80.8</v>
          </cell>
          <cell r="P89">
            <v>80.099999999999994</v>
          </cell>
          <cell r="Q89">
            <v>0.7</v>
          </cell>
        </row>
        <row r="90">
          <cell r="C90" t="str">
            <v>学術研究，専門・技術サービス業</v>
          </cell>
          <cell r="F90">
            <v>18.8</v>
          </cell>
          <cell r="G90">
            <v>156.4</v>
          </cell>
          <cell r="H90">
            <v>145</v>
          </cell>
          <cell r="I90">
            <v>11.4</v>
          </cell>
          <cell r="J90">
            <v>18.600000000000001</v>
          </cell>
          <cell r="K90">
            <v>161.30000000000001</v>
          </cell>
          <cell r="L90">
            <v>151.6</v>
          </cell>
          <cell r="M90">
            <v>9.6999999999999993</v>
          </cell>
          <cell r="N90">
            <v>19.100000000000001</v>
          </cell>
          <cell r="O90">
            <v>147.80000000000001</v>
          </cell>
          <cell r="P90">
            <v>133.30000000000001</v>
          </cell>
          <cell r="Q90">
            <v>14.5</v>
          </cell>
        </row>
        <row r="91">
          <cell r="C91" t="str">
            <v>宿泊業，飲食サービス業</v>
          </cell>
          <cell r="F91">
            <v>13.8</v>
          </cell>
          <cell r="G91">
            <v>76.8</v>
          </cell>
          <cell r="H91">
            <v>73.400000000000006</v>
          </cell>
          <cell r="I91">
            <v>3.4</v>
          </cell>
          <cell r="J91">
            <v>14.7</v>
          </cell>
          <cell r="K91">
            <v>79.8</v>
          </cell>
          <cell r="L91">
            <v>74.599999999999994</v>
          </cell>
          <cell r="M91">
            <v>5.2</v>
          </cell>
          <cell r="N91">
            <v>13.3</v>
          </cell>
          <cell r="O91">
            <v>75.099999999999994</v>
          </cell>
          <cell r="P91">
            <v>72.7</v>
          </cell>
          <cell r="Q91">
            <v>2.4</v>
          </cell>
        </row>
        <row r="92">
          <cell r="C92" t="str">
            <v>生活関連サービス業，娯楽業</v>
          </cell>
          <cell r="F92">
            <v>16.100000000000001</v>
          </cell>
          <cell r="G92">
            <v>113.3</v>
          </cell>
          <cell r="H92">
            <v>109.7</v>
          </cell>
          <cell r="I92">
            <v>3.6</v>
          </cell>
          <cell r="J92">
            <v>15.8</v>
          </cell>
          <cell r="K92">
            <v>116.2</v>
          </cell>
          <cell r="L92">
            <v>111.8</v>
          </cell>
          <cell r="M92">
            <v>4.4000000000000004</v>
          </cell>
          <cell r="N92">
            <v>16.5</v>
          </cell>
          <cell r="O92">
            <v>109.4</v>
          </cell>
          <cell r="P92">
            <v>106.9</v>
          </cell>
          <cell r="Q92">
            <v>2.5</v>
          </cell>
        </row>
        <row r="93">
          <cell r="C93" t="str">
            <v>教育，学習支援業</v>
          </cell>
          <cell r="F93">
            <v>18.5</v>
          </cell>
          <cell r="G93">
            <v>147.80000000000001</v>
          </cell>
          <cell r="H93">
            <v>129.5</v>
          </cell>
          <cell r="I93">
            <v>18.3</v>
          </cell>
          <cell r="J93">
            <v>18.8</v>
          </cell>
          <cell r="K93">
            <v>157</v>
          </cell>
          <cell r="L93">
            <v>132.5</v>
          </cell>
          <cell r="M93">
            <v>24.5</v>
          </cell>
          <cell r="N93">
            <v>18.3</v>
          </cell>
          <cell r="O93">
            <v>139.6</v>
          </cell>
          <cell r="P93">
            <v>126.9</v>
          </cell>
          <cell r="Q93">
            <v>12.7</v>
          </cell>
        </row>
        <row r="94">
          <cell r="C94" t="str">
            <v>医療，福祉</v>
          </cell>
          <cell r="F94">
            <v>18.2</v>
          </cell>
          <cell r="G94">
            <v>134.9</v>
          </cell>
          <cell r="H94">
            <v>130.6</v>
          </cell>
          <cell r="I94">
            <v>4.3</v>
          </cell>
          <cell r="J94">
            <v>18.100000000000001</v>
          </cell>
          <cell r="K94">
            <v>137.80000000000001</v>
          </cell>
          <cell r="L94">
            <v>132.80000000000001</v>
          </cell>
          <cell r="M94">
            <v>5</v>
          </cell>
          <cell r="N94">
            <v>18.2</v>
          </cell>
          <cell r="O94">
            <v>134</v>
          </cell>
          <cell r="P94">
            <v>129.9</v>
          </cell>
          <cell r="Q94">
            <v>4.0999999999999996</v>
          </cell>
        </row>
        <row r="95">
          <cell r="C95" t="str">
            <v>複合サービス事業</v>
          </cell>
          <cell r="F95">
            <v>17.899999999999999</v>
          </cell>
          <cell r="G95">
            <v>140.9</v>
          </cell>
          <cell r="H95">
            <v>137.80000000000001</v>
          </cell>
          <cell r="I95">
            <v>3.1</v>
          </cell>
          <cell r="J95">
            <v>17.8</v>
          </cell>
          <cell r="K95">
            <v>141.9</v>
          </cell>
          <cell r="L95">
            <v>139.19999999999999</v>
          </cell>
          <cell r="M95">
            <v>2.7</v>
          </cell>
          <cell r="N95">
            <v>18.100000000000001</v>
          </cell>
          <cell r="O95">
            <v>139.4</v>
          </cell>
          <cell r="P95">
            <v>135.6</v>
          </cell>
          <cell r="Q95">
            <v>3.8</v>
          </cell>
        </row>
        <row r="96">
          <cell r="C96" t="str">
            <v>サービス業（他に分類されないもの）</v>
          </cell>
          <cell r="F96">
            <v>17.8</v>
          </cell>
          <cell r="G96">
            <v>134.9</v>
          </cell>
          <cell r="H96">
            <v>126.3</v>
          </cell>
          <cell r="I96">
            <v>8.6</v>
          </cell>
          <cell r="J96">
            <v>18.399999999999999</v>
          </cell>
          <cell r="K96">
            <v>151.30000000000001</v>
          </cell>
          <cell r="L96">
            <v>138.30000000000001</v>
          </cell>
          <cell r="M96">
            <v>13</v>
          </cell>
          <cell r="N96">
            <v>17.2</v>
          </cell>
          <cell r="O96">
            <v>119.3</v>
          </cell>
          <cell r="P96">
            <v>114.8</v>
          </cell>
          <cell r="Q96">
            <v>4.5</v>
          </cell>
        </row>
        <row r="97">
          <cell r="C97" t="str">
            <v>食料品・たばこ</v>
          </cell>
          <cell r="F97">
            <v>19</v>
          </cell>
          <cell r="G97">
            <v>147.6</v>
          </cell>
          <cell r="H97">
            <v>138.9</v>
          </cell>
          <cell r="I97">
            <v>8.6999999999999993</v>
          </cell>
          <cell r="J97">
            <v>19.3</v>
          </cell>
          <cell r="K97">
            <v>161</v>
          </cell>
          <cell r="L97">
            <v>147.9</v>
          </cell>
          <cell r="M97">
            <v>13.1</v>
          </cell>
          <cell r="N97">
            <v>18.7</v>
          </cell>
          <cell r="O97">
            <v>137.69999999999999</v>
          </cell>
          <cell r="P97">
            <v>132.30000000000001</v>
          </cell>
          <cell r="Q97">
            <v>5.4</v>
          </cell>
        </row>
        <row r="98">
          <cell r="C98" t="str">
            <v>繊維工業</v>
          </cell>
          <cell r="F98">
            <v>19.600000000000001</v>
          </cell>
          <cell r="G98">
            <v>165.1</v>
          </cell>
          <cell r="H98">
            <v>147.69999999999999</v>
          </cell>
          <cell r="I98">
            <v>17.399999999999999</v>
          </cell>
          <cell r="J98">
            <v>19.100000000000001</v>
          </cell>
          <cell r="K98">
            <v>157.80000000000001</v>
          </cell>
          <cell r="L98">
            <v>143.30000000000001</v>
          </cell>
          <cell r="M98">
            <v>14.5</v>
          </cell>
          <cell r="N98">
            <v>19.899999999999999</v>
          </cell>
          <cell r="O98">
            <v>169.5</v>
          </cell>
          <cell r="P98">
            <v>150.4</v>
          </cell>
          <cell r="Q98">
            <v>19.100000000000001</v>
          </cell>
        </row>
        <row r="99">
          <cell r="C99" t="str">
            <v>木材・木製品</v>
          </cell>
          <cell r="F99">
            <v>19.3</v>
          </cell>
          <cell r="G99">
            <v>152.19999999999999</v>
          </cell>
          <cell r="H99">
            <v>140.19999999999999</v>
          </cell>
          <cell r="I99">
            <v>12</v>
          </cell>
          <cell r="J99">
            <v>19.100000000000001</v>
          </cell>
          <cell r="K99">
            <v>156.30000000000001</v>
          </cell>
          <cell r="L99">
            <v>140.69999999999999</v>
          </cell>
          <cell r="M99">
            <v>15.6</v>
          </cell>
          <cell r="N99">
            <v>19.7</v>
          </cell>
          <cell r="O99">
            <v>143.30000000000001</v>
          </cell>
          <cell r="P99">
            <v>139.19999999999999</v>
          </cell>
          <cell r="Q99">
            <v>4.0999999999999996</v>
          </cell>
        </row>
        <row r="100">
          <cell r="C100" t="str">
            <v>家具・装備品</v>
          </cell>
          <cell r="F100" t="str">
            <v>#21.9</v>
          </cell>
          <cell r="G100" t="str">
            <v>#163.5</v>
          </cell>
          <cell r="H100" t="str">
            <v>#163.5</v>
          </cell>
          <cell r="I100" t="str">
            <v>#0</v>
          </cell>
          <cell r="J100" t="str">
            <v>#21.8</v>
          </cell>
          <cell r="K100" t="str">
            <v>#167.9</v>
          </cell>
          <cell r="L100" t="str">
            <v>#167.9</v>
          </cell>
          <cell r="M100" t="str">
            <v>#0</v>
          </cell>
          <cell r="N100" t="str">
            <v>#22</v>
          </cell>
          <cell r="O100" t="str">
            <v>#151.5</v>
          </cell>
          <cell r="P100" t="str">
            <v>#151.5</v>
          </cell>
          <cell r="Q100" t="str">
            <v>#0</v>
          </cell>
        </row>
        <row r="101">
          <cell r="C101" t="str">
            <v>パルプ・紙</v>
          </cell>
          <cell r="F101">
            <v>21.8</v>
          </cell>
          <cell r="G101">
            <v>167.7</v>
          </cell>
          <cell r="H101">
            <v>159.69999999999999</v>
          </cell>
          <cell r="I101">
            <v>8</v>
          </cell>
          <cell r="J101">
            <v>22.2</v>
          </cell>
          <cell r="K101">
            <v>172.2</v>
          </cell>
          <cell r="L101">
            <v>162.1</v>
          </cell>
          <cell r="M101">
            <v>10.1</v>
          </cell>
          <cell r="N101">
            <v>20.399999999999999</v>
          </cell>
          <cell r="O101">
            <v>153</v>
          </cell>
          <cell r="P101">
            <v>151.6</v>
          </cell>
          <cell r="Q101">
            <v>1.4</v>
          </cell>
        </row>
        <row r="102">
          <cell r="C102" t="str">
            <v>印刷・同関連業</v>
          </cell>
          <cell r="F102">
            <v>18.8</v>
          </cell>
          <cell r="G102">
            <v>150.80000000000001</v>
          </cell>
          <cell r="H102">
            <v>143.6</v>
          </cell>
          <cell r="I102">
            <v>7.2</v>
          </cell>
          <cell r="J102">
            <v>18.899999999999999</v>
          </cell>
          <cell r="K102">
            <v>152.69999999999999</v>
          </cell>
          <cell r="L102">
            <v>144.19999999999999</v>
          </cell>
          <cell r="M102">
            <v>8.5</v>
          </cell>
          <cell r="N102">
            <v>18.600000000000001</v>
          </cell>
          <cell r="O102">
            <v>146.6</v>
          </cell>
          <cell r="P102">
            <v>142.4</v>
          </cell>
          <cell r="Q102">
            <v>4.2</v>
          </cell>
        </row>
        <row r="103">
          <cell r="C103" t="str">
            <v>化学、石油・石炭</v>
          </cell>
          <cell r="F103">
            <v>19.100000000000001</v>
          </cell>
          <cell r="G103">
            <v>157.1</v>
          </cell>
          <cell r="H103">
            <v>140</v>
          </cell>
          <cell r="I103">
            <v>17.100000000000001</v>
          </cell>
          <cell r="J103">
            <v>19.100000000000001</v>
          </cell>
          <cell r="K103">
            <v>158.19999999999999</v>
          </cell>
          <cell r="L103">
            <v>140.1</v>
          </cell>
          <cell r="M103">
            <v>18.100000000000001</v>
          </cell>
          <cell r="N103">
            <v>18.7</v>
          </cell>
          <cell r="O103">
            <v>142.69999999999999</v>
          </cell>
          <cell r="P103">
            <v>137.9</v>
          </cell>
          <cell r="Q103">
            <v>4.8</v>
          </cell>
        </row>
        <row r="104">
          <cell r="C104" t="str">
            <v>プラスチック製品</v>
          </cell>
          <cell r="F104">
            <v>18.399999999999999</v>
          </cell>
          <cell r="G104">
            <v>145.5</v>
          </cell>
          <cell r="H104">
            <v>137.6</v>
          </cell>
          <cell r="I104">
            <v>7.9</v>
          </cell>
          <cell r="J104">
            <v>18.7</v>
          </cell>
          <cell r="K104">
            <v>155.1</v>
          </cell>
          <cell r="L104">
            <v>144.69999999999999</v>
          </cell>
          <cell r="M104">
            <v>10.4</v>
          </cell>
          <cell r="N104">
            <v>17.5</v>
          </cell>
          <cell r="O104">
            <v>120</v>
          </cell>
          <cell r="P104">
            <v>118.7</v>
          </cell>
          <cell r="Q104">
            <v>1.3</v>
          </cell>
        </row>
        <row r="105">
          <cell r="C105" t="str">
            <v>ゴム製品</v>
          </cell>
          <cell r="F105">
            <v>19.399999999999999</v>
          </cell>
          <cell r="G105">
            <v>165.2</v>
          </cell>
          <cell r="H105">
            <v>143.19999999999999</v>
          </cell>
          <cell r="I105">
            <v>22</v>
          </cell>
          <cell r="J105">
            <v>19.399999999999999</v>
          </cell>
          <cell r="K105">
            <v>165.8</v>
          </cell>
          <cell r="L105">
            <v>142.1</v>
          </cell>
          <cell r="M105">
            <v>23.7</v>
          </cell>
          <cell r="N105">
            <v>19.8</v>
          </cell>
          <cell r="O105">
            <v>161.1</v>
          </cell>
          <cell r="P105">
            <v>150.4</v>
          </cell>
          <cell r="Q105">
            <v>10.7</v>
          </cell>
        </row>
        <row r="106">
          <cell r="C106" t="str">
            <v>窯業・土石製品</v>
          </cell>
          <cell r="F106">
            <v>20.399999999999999</v>
          </cell>
          <cell r="G106">
            <v>173.9</v>
          </cell>
          <cell r="H106">
            <v>161</v>
          </cell>
          <cell r="I106">
            <v>12.9</v>
          </cell>
          <cell r="J106">
            <v>20.5</v>
          </cell>
          <cell r="K106">
            <v>179</v>
          </cell>
          <cell r="L106">
            <v>162.4</v>
          </cell>
          <cell r="M106">
            <v>16.600000000000001</v>
          </cell>
          <cell r="N106">
            <v>20.3</v>
          </cell>
          <cell r="O106">
            <v>158.4</v>
          </cell>
          <cell r="P106">
            <v>156.9</v>
          </cell>
          <cell r="Q106">
            <v>1.5</v>
          </cell>
        </row>
        <row r="107">
          <cell r="C107" t="str">
            <v>鉄鋼業</v>
          </cell>
          <cell r="F107">
            <v>18.5</v>
          </cell>
          <cell r="G107">
            <v>163.80000000000001</v>
          </cell>
          <cell r="H107">
            <v>143.69999999999999</v>
          </cell>
          <cell r="I107">
            <v>20.100000000000001</v>
          </cell>
          <cell r="J107">
            <v>18.2</v>
          </cell>
          <cell r="K107">
            <v>165.1</v>
          </cell>
          <cell r="L107">
            <v>143.19999999999999</v>
          </cell>
          <cell r="M107">
            <v>21.9</v>
          </cell>
          <cell r="N107">
            <v>19.7</v>
          </cell>
          <cell r="O107">
            <v>158.5</v>
          </cell>
          <cell r="P107">
            <v>145.9</v>
          </cell>
          <cell r="Q107">
            <v>12.6</v>
          </cell>
        </row>
        <row r="108">
          <cell r="C108" t="str">
            <v>非鉄金属製造業</v>
          </cell>
          <cell r="F108" t="str">
            <v>#17.5</v>
          </cell>
          <cell r="G108" t="str">
            <v>#143.4</v>
          </cell>
          <cell r="H108" t="str">
            <v>#142.3</v>
          </cell>
          <cell r="I108" t="str">
            <v>#1.1</v>
          </cell>
          <cell r="J108" t="str">
            <v>#18.8</v>
          </cell>
          <cell r="K108" t="str">
            <v>#159.2</v>
          </cell>
          <cell r="L108" t="str">
            <v>#157.1</v>
          </cell>
          <cell r="M108" t="str">
            <v>#2.1</v>
          </cell>
          <cell r="N108" t="str">
            <v>#16.4</v>
          </cell>
          <cell r="O108" t="str">
            <v>#128.3</v>
          </cell>
          <cell r="P108" t="str">
            <v>#128.1</v>
          </cell>
          <cell r="Q108" t="str">
            <v>#0.2</v>
          </cell>
        </row>
        <row r="109">
          <cell r="C109" t="str">
            <v>金属製品製造業</v>
          </cell>
          <cell r="F109">
            <v>20.399999999999999</v>
          </cell>
          <cell r="G109">
            <v>164.2</v>
          </cell>
          <cell r="H109">
            <v>151.80000000000001</v>
          </cell>
          <cell r="I109">
            <v>12.4</v>
          </cell>
          <cell r="J109">
            <v>20.7</v>
          </cell>
          <cell r="K109">
            <v>177</v>
          </cell>
          <cell r="L109">
            <v>159.4</v>
          </cell>
          <cell r="M109">
            <v>17.600000000000001</v>
          </cell>
          <cell r="N109">
            <v>20</v>
          </cell>
          <cell r="O109">
            <v>143.69999999999999</v>
          </cell>
          <cell r="P109">
            <v>139.6</v>
          </cell>
          <cell r="Q109">
            <v>4.0999999999999996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18.7</v>
          </cell>
          <cell r="G112">
            <v>155.69999999999999</v>
          </cell>
          <cell r="H112">
            <v>147.1</v>
          </cell>
          <cell r="I112">
            <v>8.6</v>
          </cell>
          <cell r="J112">
            <v>19.5</v>
          </cell>
          <cell r="K112">
            <v>162.19999999999999</v>
          </cell>
          <cell r="L112">
            <v>151.1</v>
          </cell>
          <cell r="M112">
            <v>11.1</v>
          </cell>
          <cell r="N112">
            <v>18</v>
          </cell>
          <cell r="O112">
            <v>149.69999999999999</v>
          </cell>
          <cell r="P112">
            <v>143.4</v>
          </cell>
          <cell r="Q112">
            <v>6.3</v>
          </cell>
        </row>
        <row r="113">
          <cell r="C113" t="str">
            <v>電子・デバイス</v>
          </cell>
          <cell r="F113">
            <v>17.7</v>
          </cell>
          <cell r="G113">
            <v>152.5</v>
          </cell>
          <cell r="H113">
            <v>139.30000000000001</v>
          </cell>
          <cell r="I113">
            <v>13.2</v>
          </cell>
          <cell r="J113">
            <v>17.899999999999999</v>
          </cell>
          <cell r="K113">
            <v>159.9</v>
          </cell>
          <cell r="L113">
            <v>143.19999999999999</v>
          </cell>
          <cell r="M113">
            <v>16.7</v>
          </cell>
          <cell r="N113">
            <v>17.399999999999999</v>
          </cell>
          <cell r="O113">
            <v>138.1</v>
          </cell>
          <cell r="P113">
            <v>131.80000000000001</v>
          </cell>
          <cell r="Q113">
            <v>6.3</v>
          </cell>
        </row>
        <row r="114">
          <cell r="C114" t="str">
            <v>電気機械器具</v>
          </cell>
          <cell r="F114">
            <v>20.2</v>
          </cell>
          <cell r="G114">
            <v>166.9</v>
          </cell>
          <cell r="H114">
            <v>154.80000000000001</v>
          </cell>
          <cell r="I114">
            <v>12.1</v>
          </cell>
          <cell r="J114">
            <v>20.6</v>
          </cell>
          <cell r="K114">
            <v>174.2</v>
          </cell>
          <cell r="L114">
            <v>158.30000000000001</v>
          </cell>
          <cell r="M114">
            <v>15.9</v>
          </cell>
          <cell r="N114">
            <v>19.600000000000001</v>
          </cell>
          <cell r="O114">
            <v>151.6</v>
          </cell>
          <cell r="P114">
            <v>147.5</v>
          </cell>
          <cell r="Q114">
            <v>4.0999999999999996</v>
          </cell>
        </row>
        <row r="115">
          <cell r="C115" t="str">
            <v>情報通信機械器具</v>
          </cell>
          <cell r="F115">
            <v>19.399999999999999</v>
          </cell>
          <cell r="G115">
            <v>168.2</v>
          </cell>
          <cell r="H115">
            <v>147.5</v>
          </cell>
          <cell r="I115">
            <v>20.7</v>
          </cell>
          <cell r="J115">
            <v>19.2</v>
          </cell>
          <cell r="K115">
            <v>170.5</v>
          </cell>
          <cell r="L115">
            <v>147.69999999999999</v>
          </cell>
          <cell r="M115">
            <v>22.8</v>
          </cell>
          <cell r="N115">
            <v>19.600000000000001</v>
          </cell>
          <cell r="O115">
            <v>165.5</v>
          </cell>
          <cell r="P115">
            <v>147.19999999999999</v>
          </cell>
          <cell r="Q115">
            <v>18.3</v>
          </cell>
        </row>
        <row r="116">
          <cell r="C116" t="str">
            <v>輸送用機械器具</v>
          </cell>
          <cell r="F116">
            <v>18</v>
          </cell>
          <cell r="G116">
            <v>162.6</v>
          </cell>
          <cell r="H116">
            <v>145.5</v>
          </cell>
          <cell r="I116">
            <v>17.100000000000001</v>
          </cell>
          <cell r="J116">
            <v>18.100000000000001</v>
          </cell>
          <cell r="K116">
            <v>166.2</v>
          </cell>
          <cell r="L116">
            <v>147.4</v>
          </cell>
          <cell r="M116">
            <v>18.8</v>
          </cell>
          <cell r="N116">
            <v>17.5</v>
          </cell>
          <cell r="O116">
            <v>146.6</v>
          </cell>
          <cell r="P116">
            <v>137.1</v>
          </cell>
          <cell r="Q116">
            <v>9.5</v>
          </cell>
        </row>
        <row r="117">
          <cell r="C117" t="str">
            <v>その他の製造業</v>
          </cell>
          <cell r="F117">
            <v>21.2</v>
          </cell>
          <cell r="G117">
            <v>185.5</v>
          </cell>
          <cell r="H117">
            <v>158.6</v>
          </cell>
          <cell r="I117">
            <v>26.9</v>
          </cell>
          <cell r="J117">
            <v>21.9</v>
          </cell>
          <cell r="K117">
            <v>198.3</v>
          </cell>
          <cell r="L117">
            <v>165.9</v>
          </cell>
          <cell r="M117">
            <v>32.4</v>
          </cell>
          <cell r="N117">
            <v>18.3</v>
          </cell>
          <cell r="O117">
            <v>138.4</v>
          </cell>
          <cell r="P117">
            <v>131.5</v>
          </cell>
          <cell r="Q117">
            <v>6.9</v>
          </cell>
        </row>
        <row r="118">
          <cell r="C118" t="str">
            <v>Ｅ一括分１</v>
          </cell>
          <cell r="F118">
            <v>20.8</v>
          </cell>
          <cell r="G118">
            <v>178.4</v>
          </cell>
          <cell r="H118">
            <v>156.69999999999999</v>
          </cell>
          <cell r="I118">
            <v>21.7</v>
          </cell>
          <cell r="J118">
            <v>21.8</v>
          </cell>
          <cell r="K118">
            <v>189.6</v>
          </cell>
          <cell r="L118">
            <v>159.69999999999999</v>
          </cell>
          <cell r="M118">
            <v>29.9</v>
          </cell>
          <cell r="N118">
            <v>18.7</v>
          </cell>
          <cell r="O118">
            <v>156.1</v>
          </cell>
          <cell r="P118">
            <v>150.69999999999999</v>
          </cell>
          <cell r="Q118">
            <v>5.4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19.100000000000001</v>
          </cell>
          <cell r="G121">
            <v>158.9</v>
          </cell>
          <cell r="H121">
            <v>149</v>
          </cell>
          <cell r="I121">
            <v>9.9</v>
          </cell>
          <cell r="J121">
            <v>19</v>
          </cell>
          <cell r="K121">
            <v>162.4</v>
          </cell>
          <cell r="L121">
            <v>151</v>
          </cell>
          <cell r="M121">
            <v>11.4</v>
          </cell>
          <cell r="N121">
            <v>19.399999999999999</v>
          </cell>
          <cell r="O121">
            <v>144.80000000000001</v>
          </cell>
          <cell r="P121">
            <v>141</v>
          </cell>
          <cell r="Q121">
            <v>3.8</v>
          </cell>
        </row>
        <row r="122">
          <cell r="C122" t="str">
            <v>小売業</v>
          </cell>
          <cell r="F122">
            <v>17.7</v>
          </cell>
          <cell r="G122">
            <v>124.1</v>
          </cell>
          <cell r="H122">
            <v>117.9</v>
          </cell>
          <cell r="I122">
            <v>6.2</v>
          </cell>
          <cell r="J122">
            <v>18</v>
          </cell>
          <cell r="K122">
            <v>138.6</v>
          </cell>
          <cell r="L122">
            <v>129.19999999999999</v>
          </cell>
          <cell r="M122">
            <v>9.4</v>
          </cell>
          <cell r="N122">
            <v>17.5</v>
          </cell>
          <cell r="O122">
            <v>112.7</v>
          </cell>
          <cell r="P122">
            <v>109</v>
          </cell>
          <cell r="Q122">
            <v>3.7</v>
          </cell>
        </row>
        <row r="123">
          <cell r="C123" t="str">
            <v>宿泊業</v>
          </cell>
          <cell r="F123">
            <v>18.100000000000001</v>
          </cell>
          <cell r="G123">
            <v>117.7</v>
          </cell>
          <cell r="H123">
            <v>110.3</v>
          </cell>
          <cell r="I123">
            <v>7.4</v>
          </cell>
          <cell r="J123">
            <v>20.3</v>
          </cell>
          <cell r="K123">
            <v>146.1</v>
          </cell>
          <cell r="L123">
            <v>134.69999999999999</v>
          </cell>
          <cell r="M123">
            <v>11.4</v>
          </cell>
          <cell r="N123">
            <v>17.100000000000001</v>
          </cell>
          <cell r="O123">
            <v>105.2</v>
          </cell>
          <cell r="P123">
            <v>99.6</v>
          </cell>
          <cell r="Q123">
            <v>5.6</v>
          </cell>
        </row>
        <row r="124">
          <cell r="C124" t="str">
            <v>Ｍ一括分</v>
          </cell>
          <cell r="F124">
            <v>13</v>
          </cell>
          <cell r="G124">
            <v>69.099999999999994</v>
          </cell>
          <cell r="H124">
            <v>66.400000000000006</v>
          </cell>
          <cell r="I124">
            <v>2.7</v>
          </cell>
          <cell r="J124">
            <v>13.8</v>
          </cell>
          <cell r="K124">
            <v>69.3</v>
          </cell>
          <cell r="L124">
            <v>65.099999999999994</v>
          </cell>
          <cell r="M124">
            <v>4.2</v>
          </cell>
          <cell r="N124">
            <v>12.5</v>
          </cell>
          <cell r="O124">
            <v>68.900000000000006</v>
          </cell>
          <cell r="P124">
            <v>67.099999999999994</v>
          </cell>
          <cell r="Q124">
            <v>1.8</v>
          </cell>
        </row>
        <row r="125">
          <cell r="C125" t="str">
            <v>医療業</v>
          </cell>
          <cell r="F125">
            <v>18.8</v>
          </cell>
          <cell r="G125">
            <v>138.6</v>
          </cell>
          <cell r="H125">
            <v>133</v>
          </cell>
          <cell r="I125">
            <v>5.6</v>
          </cell>
          <cell r="J125">
            <v>19.100000000000001</v>
          </cell>
          <cell r="K125">
            <v>149.19999999999999</v>
          </cell>
          <cell r="L125">
            <v>141.19999999999999</v>
          </cell>
          <cell r="M125">
            <v>8</v>
          </cell>
          <cell r="N125">
            <v>18.7</v>
          </cell>
          <cell r="O125">
            <v>135.69999999999999</v>
          </cell>
          <cell r="P125">
            <v>130.80000000000001</v>
          </cell>
          <cell r="Q125">
            <v>4.9000000000000004</v>
          </cell>
        </row>
        <row r="126">
          <cell r="C126" t="str">
            <v>Ｐ一括分</v>
          </cell>
          <cell r="F126">
            <v>17.7</v>
          </cell>
          <cell r="G126">
            <v>132</v>
          </cell>
          <cell r="H126">
            <v>128.69999999999999</v>
          </cell>
          <cell r="I126">
            <v>3.3</v>
          </cell>
          <cell r="J126">
            <v>17.399999999999999</v>
          </cell>
          <cell r="K126">
            <v>130.69999999999999</v>
          </cell>
          <cell r="L126">
            <v>127.5</v>
          </cell>
          <cell r="M126">
            <v>3.2</v>
          </cell>
          <cell r="N126">
            <v>17.8</v>
          </cell>
          <cell r="O126">
            <v>132.4</v>
          </cell>
          <cell r="P126">
            <v>129.1</v>
          </cell>
          <cell r="Q126">
            <v>3.3</v>
          </cell>
        </row>
        <row r="127">
          <cell r="C127" t="str">
            <v>職業紹介・派遣業</v>
          </cell>
          <cell r="F127">
            <v>17.5</v>
          </cell>
          <cell r="G127">
            <v>144.1</v>
          </cell>
          <cell r="H127">
            <v>137</v>
          </cell>
          <cell r="I127">
            <v>7.1</v>
          </cell>
          <cell r="J127">
            <v>18.100000000000001</v>
          </cell>
          <cell r="K127">
            <v>159.6</v>
          </cell>
          <cell r="L127">
            <v>148.80000000000001</v>
          </cell>
          <cell r="M127">
            <v>10.8</v>
          </cell>
          <cell r="N127">
            <v>17</v>
          </cell>
          <cell r="O127">
            <v>131.4</v>
          </cell>
          <cell r="P127">
            <v>127.3</v>
          </cell>
          <cell r="Q127">
            <v>4.0999999999999996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17.899999999999999</v>
          </cell>
          <cell r="G129">
            <v>133.19999999999999</v>
          </cell>
          <cell r="H129">
            <v>124.2</v>
          </cell>
          <cell r="I129">
            <v>9</v>
          </cell>
          <cell r="J129">
            <v>18.5</v>
          </cell>
          <cell r="K129">
            <v>149.80000000000001</v>
          </cell>
          <cell r="L129">
            <v>136.4</v>
          </cell>
          <cell r="M129">
            <v>13.4</v>
          </cell>
          <cell r="N129">
            <v>17.2</v>
          </cell>
          <cell r="O129">
            <v>116.5</v>
          </cell>
          <cell r="P129">
            <v>112</v>
          </cell>
          <cell r="Q129">
            <v>4.5</v>
          </cell>
        </row>
        <row r="130">
          <cell r="C130" t="str">
            <v>特掲産業１</v>
          </cell>
          <cell r="F130">
            <v>14.5</v>
          </cell>
          <cell r="G130">
            <v>92.4</v>
          </cell>
          <cell r="H130">
            <v>89.4</v>
          </cell>
          <cell r="I130">
            <v>3</v>
          </cell>
          <cell r="J130">
            <v>15</v>
          </cell>
          <cell r="K130">
            <v>91.3</v>
          </cell>
          <cell r="L130">
            <v>88.2</v>
          </cell>
          <cell r="M130">
            <v>3.1</v>
          </cell>
          <cell r="N130">
            <v>13.3</v>
          </cell>
          <cell r="O130">
            <v>94.8</v>
          </cell>
          <cell r="P130">
            <v>92</v>
          </cell>
          <cell r="Q130">
            <v>2.8</v>
          </cell>
        </row>
        <row r="131">
          <cell r="C131" t="str">
            <v>特掲産業２</v>
          </cell>
          <cell r="F131">
            <v>19.8</v>
          </cell>
          <cell r="G131">
            <v>136.4</v>
          </cell>
          <cell r="H131">
            <v>134.19999999999999</v>
          </cell>
          <cell r="I131">
            <v>2.2000000000000002</v>
          </cell>
          <cell r="J131">
            <v>19.3</v>
          </cell>
          <cell r="K131">
            <v>130.1</v>
          </cell>
          <cell r="L131">
            <v>126.6</v>
          </cell>
          <cell r="M131">
            <v>3.5</v>
          </cell>
          <cell r="N131">
            <v>20.6</v>
          </cell>
          <cell r="O131">
            <v>145.80000000000001</v>
          </cell>
          <cell r="P131">
            <v>145.4</v>
          </cell>
          <cell r="Q131">
            <v>0.4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 refreshError="1"/>
      <sheetData sheetId="10" refreshError="1"/>
      <sheetData sheetId="11">
        <row r="7">
          <cell r="D7" t="str">
            <v>調査産業計</v>
          </cell>
        </row>
      </sheetData>
      <sheetData sheetId="12" refreshError="1"/>
      <sheetData sheetId="13" refreshError="1"/>
      <sheetData sheetId="14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>
        <row r="9">
          <cell r="E9">
            <v>222474</v>
          </cell>
        </row>
      </sheetData>
      <sheetData sheetId="17">
        <row r="9">
          <cell r="E9">
            <v>18.100000000000001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3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10590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18.899999999999999</v>
          </cell>
          <cell r="G10">
            <v>146.5</v>
          </cell>
          <cell r="H10">
            <v>135.80000000000001</v>
          </cell>
          <cell r="I10">
            <v>10.7</v>
          </cell>
          <cell r="J10">
            <v>19.600000000000001</v>
          </cell>
          <cell r="K10">
            <v>161.5</v>
          </cell>
          <cell r="L10">
            <v>145.6</v>
          </cell>
          <cell r="M10">
            <v>15.9</v>
          </cell>
          <cell r="N10">
            <v>18.3</v>
          </cell>
          <cell r="O10">
            <v>132.6</v>
          </cell>
          <cell r="P10">
            <v>126.7</v>
          </cell>
          <cell r="Q10">
            <v>5.9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20.5</v>
          </cell>
          <cell r="G12">
            <v>164.2</v>
          </cell>
          <cell r="H12">
            <v>151.69999999999999</v>
          </cell>
          <cell r="I12">
            <v>12.5</v>
          </cell>
          <cell r="J12">
            <v>20.8</v>
          </cell>
          <cell r="K12">
            <v>169.3</v>
          </cell>
          <cell r="L12">
            <v>155.1</v>
          </cell>
          <cell r="M12">
            <v>14.2</v>
          </cell>
          <cell r="N12">
            <v>18.899999999999999</v>
          </cell>
          <cell r="O12">
            <v>142.69999999999999</v>
          </cell>
          <cell r="P12">
            <v>137.30000000000001</v>
          </cell>
          <cell r="Q12">
            <v>5.4</v>
          </cell>
        </row>
        <row r="13">
          <cell r="C13" t="str">
            <v>製造業</v>
          </cell>
          <cell r="F13">
            <v>19.600000000000001</v>
          </cell>
          <cell r="G13">
            <v>161.6</v>
          </cell>
          <cell r="H13">
            <v>148.1</v>
          </cell>
          <cell r="I13">
            <v>13.5</v>
          </cell>
          <cell r="J13">
            <v>19.899999999999999</v>
          </cell>
          <cell r="K13">
            <v>169.9</v>
          </cell>
          <cell r="L13">
            <v>152.6</v>
          </cell>
          <cell r="M13">
            <v>17.3</v>
          </cell>
          <cell r="N13">
            <v>19</v>
          </cell>
          <cell r="O13">
            <v>147.4</v>
          </cell>
          <cell r="P13">
            <v>140.4</v>
          </cell>
          <cell r="Q13">
            <v>7</v>
          </cell>
        </row>
        <row r="14">
          <cell r="C14" t="str">
            <v>電気・ガス・熱供給・水道業</v>
          </cell>
          <cell r="F14">
            <v>19.899999999999999</v>
          </cell>
          <cell r="G14">
            <v>164.3</v>
          </cell>
          <cell r="H14">
            <v>147.9</v>
          </cell>
          <cell r="I14">
            <v>16.399999999999999</v>
          </cell>
          <cell r="J14">
            <v>19.8</v>
          </cell>
          <cell r="K14">
            <v>165.7</v>
          </cell>
          <cell r="L14">
            <v>148.80000000000001</v>
          </cell>
          <cell r="M14">
            <v>16.899999999999999</v>
          </cell>
          <cell r="N14">
            <v>20.8</v>
          </cell>
          <cell r="O14">
            <v>155.4</v>
          </cell>
          <cell r="P14">
            <v>142.4</v>
          </cell>
          <cell r="Q14">
            <v>13</v>
          </cell>
        </row>
        <row r="15">
          <cell r="C15" t="str">
            <v>情報通信業</v>
          </cell>
          <cell r="F15">
            <v>19.399999999999999</v>
          </cell>
          <cell r="G15">
            <v>161.9</v>
          </cell>
          <cell r="H15">
            <v>146.9</v>
          </cell>
          <cell r="I15">
            <v>15</v>
          </cell>
          <cell r="J15">
            <v>19.600000000000001</v>
          </cell>
          <cell r="K15">
            <v>165.3</v>
          </cell>
          <cell r="L15">
            <v>149.30000000000001</v>
          </cell>
          <cell r="M15">
            <v>16</v>
          </cell>
          <cell r="N15">
            <v>18.899999999999999</v>
          </cell>
          <cell r="O15">
            <v>153.5</v>
          </cell>
          <cell r="P15">
            <v>141.1</v>
          </cell>
          <cell r="Q15">
            <v>12.4</v>
          </cell>
        </row>
        <row r="16">
          <cell r="C16" t="str">
            <v>運輸業，郵便業</v>
          </cell>
          <cell r="F16">
            <v>20.3</v>
          </cell>
          <cell r="G16">
            <v>170.7</v>
          </cell>
          <cell r="H16">
            <v>147.80000000000001</v>
          </cell>
          <cell r="I16">
            <v>22.9</v>
          </cell>
          <cell r="J16">
            <v>20.6</v>
          </cell>
          <cell r="K16">
            <v>176.9</v>
          </cell>
          <cell r="L16">
            <v>151.1</v>
          </cell>
          <cell r="M16">
            <v>25.8</v>
          </cell>
          <cell r="N16">
            <v>18.2</v>
          </cell>
          <cell r="O16">
            <v>136.69999999999999</v>
          </cell>
          <cell r="P16">
            <v>129.5</v>
          </cell>
          <cell r="Q16">
            <v>7.2</v>
          </cell>
        </row>
        <row r="17">
          <cell r="C17" t="str">
            <v>卸売業，小売業</v>
          </cell>
          <cell r="F17">
            <v>17.600000000000001</v>
          </cell>
          <cell r="G17">
            <v>123</v>
          </cell>
          <cell r="H17">
            <v>116.4</v>
          </cell>
          <cell r="I17">
            <v>6.6</v>
          </cell>
          <cell r="J17">
            <v>18.5</v>
          </cell>
          <cell r="K17">
            <v>146.5</v>
          </cell>
          <cell r="L17">
            <v>134.4</v>
          </cell>
          <cell r="M17">
            <v>12.1</v>
          </cell>
          <cell r="N17">
            <v>17</v>
          </cell>
          <cell r="O17">
            <v>108.8</v>
          </cell>
          <cell r="P17">
            <v>105.5</v>
          </cell>
          <cell r="Q17">
            <v>3.3</v>
          </cell>
        </row>
        <row r="18">
          <cell r="C18" t="str">
            <v>金融業，保険業</v>
          </cell>
          <cell r="F18">
            <v>20.2</v>
          </cell>
          <cell r="G18">
            <v>145.80000000000001</v>
          </cell>
          <cell r="H18">
            <v>140.9</v>
          </cell>
          <cell r="I18">
            <v>4.9000000000000004</v>
          </cell>
          <cell r="J18">
            <v>20.5</v>
          </cell>
          <cell r="K18">
            <v>147.6</v>
          </cell>
          <cell r="L18">
            <v>143.80000000000001</v>
          </cell>
          <cell r="M18">
            <v>3.8</v>
          </cell>
          <cell r="N18">
            <v>20</v>
          </cell>
          <cell r="O18">
            <v>144.19999999999999</v>
          </cell>
          <cell r="P18">
            <v>138.30000000000001</v>
          </cell>
          <cell r="Q18">
            <v>5.9</v>
          </cell>
        </row>
        <row r="19">
          <cell r="C19" t="str">
            <v>不動産業，物品賃貸業</v>
          </cell>
          <cell r="F19">
            <v>20.3</v>
          </cell>
          <cell r="G19">
            <v>156.30000000000001</v>
          </cell>
          <cell r="H19">
            <v>151.1</v>
          </cell>
          <cell r="I19">
            <v>5.2</v>
          </cell>
          <cell r="J19">
            <v>20.6</v>
          </cell>
          <cell r="K19">
            <v>165.6</v>
          </cell>
          <cell r="L19">
            <v>159.5</v>
          </cell>
          <cell r="M19">
            <v>6.1</v>
          </cell>
          <cell r="N19">
            <v>19.7</v>
          </cell>
          <cell r="O19">
            <v>140.4</v>
          </cell>
          <cell r="P19">
            <v>136.80000000000001</v>
          </cell>
          <cell r="Q19">
            <v>3.6</v>
          </cell>
        </row>
        <row r="20">
          <cell r="C20" t="str">
            <v>学術研究，専門・技術サービス業</v>
          </cell>
          <cell r="F20">
            <v>19.600000000000001</v>
          </cell>
          <cell r="G20">
            <v>163.9</v>
          </cell>
          <cell r="H20">
            <v>149.1</v>
          </cell>
          <cell r="I20">
            <v>14.8</v>
          </cell>
          <cell r="J20">
            <v>19.899999999999999</v>
          </cell>
          <cell r="K20">
            <v>167.3</v>
          </cell>
          <cell r="L20">
            <v>152.1</v>
          </cell>
          <cell r="M20">
            <v>15.2</v>
          </cell>
          <cell r="N20">
            <v>18.8</v>
          </cell>
          <cell r="O20">
            <v>151.69999999999999</v>
          </cell>
          <cell r="P20">
            <v>138.4</v>
          </cell>
          <cell r="Q20">
            <v>13.3</v>
          </cell>
        </row>
        <row r="21">
          <cell r="C21" t="str">
            <v>宿泊業，飲食サービス業</v>
          </cell>
          <cell r="F21">
            <v>15</v>
          </cell>
          <cell r="G21">
            <v>97.8</v>
          </cell>
          <cell r="H21">
            <v>92.3</v>
          </cell>
          <cell r="I21">
            <v>5.5</v>
          </cell>
          <cell r="J21">
            <v>15</v>
          </cell>
          <cell r="K21">
            <v>104.5</v>
          </cell>
          <cell r="L21">
            <v>95.9</v>
          </cell>
          <cell r="M21">
            <v>8.6</v>
          </cell>
          <cell r="N21">
            <v>15.1</v>
          </cell>
          <cell r="O21">
            <v>94</v>
          </cell>
          <cell r="P21">
            <v>90.3</v>
          </cell>
          <cell r="Q21">
            <v>3.7</v>
          </cell>
        </row>
        <row r="22">
          <cell r="C22" t="str">
            <v>生活関連サービス業，娯楽業</v>
          </cell>
          <cell r="F22">
            <v>16.8</v>
          </cell>
          <cell r="G22">
            <v>137.30000000000001</v>
          </cell>
          <cell r="H22">
            <v>127.8</v>
          </cell>
          <cell r="I22">
            <v>9.5</v>
          </cell>
          <cell r="J22">
            <v>17.100000000000001</v>
          </cell>
          <cell r="K22">
            <v>145.1</v>
          </cell>
          <cell r="L22">
            <v>133.4</v>
          </cell>
          <cell r="M22">
            <v>11.7</v>
          </cell>
          <cell r="N22">
            <v>16.3</v>
          </cell>
          <cell r="O22">
            <v>123.8</v>
          </cell>
          <cell r="P22">
            <v>118.2</v>
          </cell>
          <cell r="Q22">
            <v>5.6</v>
          </cell>
        </row>
        <row r="23">
          <cell r="C23" t="str">
            <v>教育，学習支援業</v>
          </cell>
          <cell r="F23">
            <v>18.7</v>
          </cell>
          <cell r="G23">
            <v>162.6</v>
          </cell>
          <cell r="H23">
            <v>138.4</v>
          </cell>
          <cell r="I23">
            <v>24.2</v>
          </cell>
          <cell r="J23">
            <v>19.7</v>
          </cell>
          <cell r="K23">
            <v>180.9</v>
          </cell>
          <cell r="L23">
            <v>149.6</v>
          </cell>
          <cell r="M23">
            <v>31.3</v>
          </cell>
          <cell r="N23">
            <v>17.899999999999999</v>
          </cell>
          <cell r="O23">
            <v>146.4</v>
          </cell>
          <cell r="P23">
            <v>128.6</v>
          </cell>
          <cell r="Q23">
            <v>17.8</v>
          </cell>
        </row>
        <row r="24">
          <cell r="C24" t="str">
            <v>医療，福祉</v>
          </cell>
          <cell r="F24">
            <v>19.100000000000001</v>
          </cell>
          <cell r="G24">
            <v>140.1</v>
          </cell>
          <cell r="H24">
            <v>135.5</v>
          </cell>
          <cell r="I24">
            <v>4.5999999999999996</v>
          </cell>
          <cell r="J24">
            <v>19.8</v>
          </cell>
          <cell r="K24">
            <v>146.5</v>
          </cell>
          <cell r="L24">
            <v>139.9</v>
          </cell>
          <cell r="M24">
            <v>6.6</v>
          </cell>
          <cell r="N24">
            <v>18.8</v>
          </cell>
          <cell r="O24">
            <v>137.9</v>
          </cell>
          <cell r="P24">
            <v>134</v>
          </cell>
          <cell r="Q24">
            <v>3.9</v>
          </cell>
        </row>
        <row r="25">
          <cell r="C25" t="str">
            <v>複合サービス事業</v>
          </cell>
          <cell r="F25">
            <v>19.100000000000001</v>
          </cell>
          <cell r="G25">
            <v>152.69999999999999</v>
          </cell>
          <cell r="H25">
            <v>146.69999999999999</v>
          </cell>
          <cell r="I25">
            <v>6</v>
          </cell>
          <cell r="J25">
            <v>19.100000000000001</v>
          </cell>
          <cell r="K25">
            <v>154.6</v>
          </cell>
          <cell r="L25">
            <v>149.6</v>
          </cell>
          <cell r="M25">
            <v>5</v>
          </cell>
          <cell r="N25">
            <v>19</v>
          </cell>
          <cell r="O25">
            <v>149.80000000000001</v>
          </cell>
          <cell r="P25">
            <v>142.30000000000001</v>
          </cell>
          <cell r="Q25">
            <v>7.5</v>
          </cell>
        </row>
        <row r="26">
          <cell r="C26" t="str">
            <v>サービス業（他に分類されないもの）</v>
          </cell>
          <cell r="F26">
            <v>18.899999999999999</v>
          </cell>
          <cell r="G26">
            <v>143</v>
          </cell>
          <cell r="H26">
            <v>133</v>
          </cell>
          <cell r="I26">
            <v>10</v>
          </cell>
          <cell r="J26">
            <v>19.3</v>
          </cell>
          <cell r="K26">
            <v>160.69999999999999</v>
          </cell>
          <cell r="L26">
            <v>146.1</v>
          </cell>
          <cell r="M26">
            <v>14.6</v>
          </cell>
          <cell r="N26">
            <v>18.5</v>
          </cell>
          <cell r="O26">
            <v>125</v>
          </cell>
          <cell r="P26">
            <v>119.7</v>
          </cell>
          <cell r="Q26">
            <v>5.3</v>
          </cell>
        </row>
        <row r="27">
          <cell r="C27" t="str">
            <v>食料品・たばこ</v>
          </cell>
          <cell r="F27">
            <v>18.899999999999999</v>
          </cell>
          <cell r="G27">
            <v>149.9</v>
          </cell>
          <cell r="H27">
            <v>139.4</v>
          </cell>
          <cell r="I27">
            <v>10.5</v>
          </cell>
          <cell r="J27">
            <v>19.100000000000001</v>
          </cell>
          <cell r="K27">
            <v>160.19999999999999</v>
          </cell>
          <cell r="L27">
            <v>146.19999999999999</v>
          </cell>
          <cell r="M27">
            <v>14</v>
          </cell>
          <cell r="N27">
            <v>18.7</v>
          </cell>
          <cell r="O27">
            <v>140.19999999999999</v>
          </cell>
          <cell r="P27">
            <v>133</v>
          </cell>
          <cell r="Q27">
            <v>7.2</v>
          </cell>
        </row>
        <row r="28">
          <cell r="C28" t="str">
            <v>繊維工業</v>
          </cell>
          <cell r="F28">
            <v>20.3</v>
          </cell>
          <cell r="G28">
            <v>165.9</v>
          </cell>
          <cell r="H28">
            <v>153.69999999999999</v>
          </cell>
          <cell r="I28">
            <v>12.2</v>
          </cell>
          <cell r="J28">
            <v>20.8</v>
          </cell>
          <cell r="K28">
            <v>172.3</v>
          </cell>
          <cell r="L28">
            <v>156.1</v>
          </cell>
          <cell r="M28">
            <v>16.2</v>
          </cell>
          <cell r="N28">
            <v>19.899999999999999</v>
          </cell>
          <cell r="O28">
            <v>161.19999999999999</v>
          </cell>
          <cell r="P28">
            <v>152</v>
          </cell>
          <cell r="Q28">
            <v>9.1999999999999993</v>
          </cell>
        </row>
        <row r="29">
          <cell r="C29" t="str">
            <v>木材・木製品</v>
          </cell>
          <cell r="F29">
            <v>20.399999999999999</v>
          </cell>
          <cell r="G29">
            <v>165.6</v>
          </cell>
          <cell r="H29">
            <v>152.6</v>
          </cell>
          <cell r="I29">
            <v>13</v>
          </cell>
          <cell r="J29">
            <v>20.399999999999999</v>
          </cell>
          <cell r="K29">
            <v>171</v>
          </cell>
          <cell r="L29">
            <v>155.9</v>
          </cell>
          <cell r="M29">
            <v>15.1</v>
          </cell>
          <cell r="N29">
            <v>20.5</v>
          </cell>
          <cell r="O29">
            <v>140.69999999999999</v>
          </cell>
          <cell r="P29">
            <v>137.30000000000001</v>
          </cell>
          <cell r="Q29">
            <v>3.4</v>
          </cell>
        </row>
        <row r="30">
          <cell r="C30" t="str">
            <v>家具・装備品</v>
          </cell>
          <cell r="F30" t="str">
            <v>#18.9</v>
          </cell>
          <cell r="G30" t="str">
            <v>#141.9</v>
          </cell>
          <cell r="H30" t="str">
            <v>#141.9</v>
          </cell>
          <cell r="I30" t="str">
            <v>#0</v>
          </cell>
          <cell r="J30" t="str">
            <v>#18.9</v>
          </cell>
          <cell r="K30" t="str">
            <v>#146.1</v>
          </cell>
          <cell r="L30" t="str">
            <v>#146.1</v>
          </cell>
          <cell r="M30" t="str">
            <v>#0</v>
          </cell>
          <cell r="N30" t="str">
            <v>#19</v>
          </cell>
          <cell r="O30" t="str">
            <v>#131.3</v>
          </cell>
          <cell r="P30" t="str">
            <v>#131.3</v>
          </cell>
          <cell r="Q30" t="str">
            <v>#0</v>
          </cell>
        </row>
        <row r="31">
          <cell r="C31" t="str">
            <v>パルプ・紙</v>
          </cell>
          <cell r="F31" t="str">
            <v>#21</v>
          </cell>
          <cell r="G31" t="str">
            <v>#166.4</v>
          </cell>
          <cell r="H31" t="str">
            <v>#156.3</v>
          </cell>
          <cell r="I31" t="str">
            <v>#10.1</v>
          </cell>
          <cell r="J31" t="str">
            <v>#21</v>
          </cell>
          <cell r="K31" t="str">
            <v>#168.9</v>
          </cell>
          <cell r="L31" t="str">
            <v>#155.8</v>
          </cell>
          <cell r="M31" t="str">
            <v>#13.1</v>
          </cell>
          <cell r="N31" t="str">
            <v>#21</v>
          </cell>
          <cell r="O31" t="str">
            <v>#158.7</v>
          </cell>
          <cell r="P31" t="str">
            <v>#157.7</v>
          </cell>
          <cell r="Q31" t="str">
            <v>#1</v>
          </cell>
        </row>
        <row r="32">
          <cell r="C32" t="str">
            <v>印刷・同関連業</v>
          </cell>
          <cell r="F32">
            <v>19.899999999999999</v>
          </cell>
          <cell r="G32">
            <v>161.5</v>
          </cell>
          <cell r="H32">
            <v>146.80000000000001</v>
          </cell>
          <cell r="I32">
            <v>14.7</v>
          </cell>
          <cell r="J32">
            <v>19.399999999999999</v>
          </cell>
          <cell r="K32">
            <v>159.80000000000001</v>
          </cell>
          <cell r="L32">
            <v>143.1</v>
          </cell>
          <cell r="M32">
            <v>16.7</v>
          </cell>
          <cell r="N32">
            <v>21.1</v>
          </cell>
          <cell r="O32">
            <v>166.1</v>
          </cell>
          <cell r="P32">
            <v>156.9</v>
          </cell>
          <cell r="Q32">
            <v>9.1999999999999993</v>
          </cell>
        </row>
        <row r="33">
          <cell r="C33" t="str">
            <v>化学、石油・石炭</v>
          </cell>
          <cell r="F33">
            <v>19.899999999999999</v>
          </cell>
          <cell r="G33">
            <v>164</v>
          </cell>
          <cell r="H33">
            <v>145.9</v>
          </cell>
          <cell r="I33">
            <v>18.100000000000001</v>
          </cell>
          <cell r="J33">
            <v>20</v>
          </cell>
          <cell r="K33">
            <v>165.3</v>
          </cell>
          <cell r="L33">
            <v>146.30000000000001</v>
          </cell>
          <cell r="M33">
            <v>19</v>
          </cell>
          <cell r="N33">
            <v>18.899999999999999</v>
          </cell>
          <cell r="O33">
            <v>146.6</v>
          </cell>
          <cell r="P33">
            <v>141</v>
          </cell>
          <cell r="Q33">
            <v>5.6</v>
          </cell>
        </row>
        <row r="34">
          <cell r="C34" t="str">
            <v>プラスチック製品</v>
          </cell>
          <cell r="F34">
            <v>21.1</v>
          </cell>
          <cell r="G34">
            <v>169.1</v>
          </cell>
          <cell r="H34">
            <v>157.80000000000001</v>
          </cell>
          <cell r="I34">
            <v>11.3</v>
          </cell>
          <cell r="J34">
            <v>21.4</v>
          </cell>
          <cell r="K34">
            <v>178.8</v>
          </cell>
          <cell r="L34">
            <v>164.1</v>
          </cell>
          <cell r="M34">
            <v>14.7</v>
          </cell>
          <cell r="N34">
            <v>20.100000000000001</v>
          </cell>
          <cell r="O34">
            <v>139.80000000000001</v>
          </cell>
          <cell r="P34">
            <v>138.69999999999999</v>
          </cell>
          <cell r="Q34">
            <v>1.1000000000000001</v>
          </cell>
        </row>
        <row r="35">
          <cell r="C35" t="str">
            <v>ゴム製品</v>
          </cell>
          <cell r="F35">
            <v>21.1</v>
          </cell>
          <cell r="G35">
            <v>177.7</v>
          </cell>
          <cell r="H35">
            <v>154.69999999999999</v>
          </cell>
          <cell r="I35">
            <v>23</v>
          </cell>
          <cell r="J35">
            <v>21.3</v>
          </cell>
          <cell r="K35">
            <v>180.8</v>
          </cell>
          <cell r="L35">
            <v>155.5</v>
          </cell>
          <cell r="M35">
            <v>25.3</v>
          </cell>
          <cell r="N35">
            <v>19.600000000000001</v>
          </cell>
          <cell r="O35">
            <v>157.30000000000001</v>
          </cell>
          <cell r="P35">
            <v>149.69999999999999</v>
          </cell>
          <cell r="Q35">
            <v>7.6</v>
          </cell>
        </row>
        <row r="36">
          <cell r="C36" t="str">
            <v>窯業・土石製品</v>
          </cell>
          <cell r="F36">
            <v>18.899999999999999</v>
          </cell>
          <cell r="G36">
            <v>145.6</v>
          </cell>
          <cell r="H36">
            <v>142.1</v>
          </cell>
          <cell r="I36">
            <v>3.5</v>
          </cell>
          <cell r="J36">
            <v>19</v>
          </cell>
          <cell r="K36">
            <v>152.5</v>
          </cell>
          <cell r="L36">
            <v>148.30000000000001</v>
          </cell>
          <cell r="M36">
            <v>4.2</v>
          </cell>
          <cell r="N36">
            <v>18.7</v>
          </cell>
          <cell r="O36">
            <v>125.3</v>
          </cell>
          <cell r="P36">
            <v>123.9</v>
          </cell>
          <cell r="Q36">
            <v>1.4</v>
          </cell>
        </row>
        <row r="37">
          <cell r="C37" t="str">
            <v>鉄鋼業</v>
          </cell>
          <cell r="F37" t="str">
            <v>#20</v>
          </cell>
          <cell r="G37" t="str">
            <v>#182.1</v>
          </cell>
          <cell r="H37" t="str">
            <v>#157.3</v>
          </cell>
          <cell r="I37" t="str">
            <v>#24.8</v>
          </cell>
          <cell r="J37" t="str">
            <v>#20</v>
          </cell>
          <cell r="K37" t="str">
            <v>#182.7</v>
          </cell>
          <cell r="L37" t="str">
            <v>#157.6</v>
          </cell>
          <cell r="M37" t="str">
            <v>#25.1</v>
          </cell>
          <cell r="N37" t="str">
            <v>#19.4</v>
          </cell>
          <cell r="O37" t="str">
            <v>#173.7</v>
          </cell>
          <cell r="P37" t="str">
            <v>#153.6</v>
          </cell>
          <cell r="Q37" t="str">
            <v>#20.1</v>
          </cell>
        </row>
        <row r="38">
          <cell r="C38" t="str">
            <v>非鉄金属製造業</v>
          </cell>
          <cell r="F38" t="str">
            <v>#20</v>
          </cell>
          <cell r="G38" t="str">
            <v>#159.7</v>
          </cell>
          <cell r="H38" t="str">
            <v>#158.5</v>
          </cell>
          <cell r="I38" t="str">
            <v>#1.2</v>
          </cell>
          <cell r="J38" t="str">
            <v>#21.8</v>
          </cell>
          <cell r="K38" t="str">
            <v>#176.7</v>
          </cell>
          <cell r="L38" t="str">
            <v>#174.4</v>
          </cell>
          <cell r="M38" t="str">
            <v>#2.3</v>
          </cell>
          <cell r="N38" t="str">
            <v>#18.3</v>
          </cell>
          <cell r="O38" t="str">
            <v>#143.5</v>
          </cell>
          <cell r="P38" t="str">
            <v>#143.2</v>
          </cell>
          <cell r="Q38" t="str">
            <v>#0.3</v>
          </cell>
        </row>
        <row r="39">
          <cell r="C39" t="str">
            <v>金属製品製造業</v>
          </cell>
          <cell r="F39">
            <v>19.2</v>
          </cell>
          <cell r="G39">
            <v>164.8</v>
          </cell>
          <cell r="H39">
            <v>146.1</v>
          </cell>
          <cell r="I39">
            <v>18.7</v>
          </cell>
          <cell r="J39">
            <v>19</v>
          </cell>
          <cell r="K39">
            <v>166.1</v>
          </cell>
          <cell r="L39">
            <v>144.6</v>
          </cell>
          <cell r="M39">
            <v>21.5</v>
          </cell>
          <cell r="N39">
            <v>20.3</v>
          </cell>
          <cell r="O39">
            <v>158.1</v>
          </cell>
          <cell r="P39">
            <v>153.80000000000001</v>
          </cell>
          <cell r="Q39">
            <v>4.3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18.5</v>
          </cell>
          <cell r="G42">
            <v>153.80000000000001</v>
          </cell>
          <cell r="H42">
            <v>145.19999999999999</v>
          </cell>
          <cell r="I42">
            <v>8.6</v>
          </cell>
          <cell r="J42">
            <v>19.3</v>
          </cell>
          <cell r="K42">
            <v>161.4</v>
          </cell>
          <cell r="L42">
            <v>149.9</v>
          </cell>
          <cell r="M42">
            <v>11.5</v>
          </cell>
          <cell r="N42">
            <v>17.600000000000001</v>
          </cell>
          <cell r="O42">
            <v>146.69999999999999</v>
          </cell>
          <cell r="P42">
            <v>140.80000000000001</v>
          </cell>
          <cell r="Q42">
            <v>5.9</v>
          </cell>
        </row>
        <row r="43">
          <cell r="C43" t="str">
            <v>電子・デバイス</v>
          </cell>
          <cell r="F43">
            <v>19.100000000000001</v>
          </cell>
          <cell r="G43">
            <v>163</v>
          </cell>
          <cell r="H43">
            <v>148.80000000000001</v>
          </cell>
          <cell r="I43">
            <v>14.2</v>
          </cell>
          <cell r="J43">
            <v>19.3</v>
          </cell>
          <cell r="K43">
            <v>170.8</v>
          </cell>
          <cell r="L43">
            <v>152.80000000000001</v>
          </cell>
          <cell r="M43">
            <v>18</v>
          </cell>
          <cell r="N43">
            <v>18.600000000000001</v>
          </cell>
          <cell r="O43">
            <v>147.69999999999999</v>
          </cell>
          <cell r="P43">
            <v>140.9</v>
          </cell>
          <cell r="Q43">
            <v>6.8</v>
          </cell>
        </row>
        <row r="44">
          <cell r="C44" t="str">
            <v>電気機械器具</v>
          </cell>
          <cell r="F44">
            <v>19.3</v>
          </cell>
          <cell r="G44">
            <v>158.30000000000001</v>
          </cell>
          <cell r="H44">
            <v>146.80000000000001</v>
          </cell>
          <cell r="I44">
            <v>11.5</v>
          </cell>
          <cell r="J44">
            <v>19.399999999999999</v>
          </cell>
          <cell r="K44">
            <v>164.3</v>
          </cell>
          <cell r="L44">
            <v>149.30000000000001</v>
          </cell>
          <cell r="M44">
            <v>15</v>
          </cell>
          <cell r="N44">
            <v>19</v>
          </cell>
          <cell r="O44">
            <v>145.6</v>
          </cell>
          <cell r="P44">
            <v>141.5</v>
          </cell>
          <cell r="Q44">
            <v>4.0999999999999996</v>
          </cell>
        </row>
        <row r="45">
          <cell r="C45" t="str">
            <v>情報通信機械器具</v>
          </cell>
          <cell r="F45" t="str">
            <v>#18.9</v>
          </cell>
          <cell r="G45" t="str">
            <v>#159</v>
          </cell>
          <cell r="H45" t="str">
            <v>#138.9</v>
          </cell>
          <cell r="I45" t="str">
            <v>#20.1</v>
          </cell>
          <cell r="J45" t="str">
            <v>#18.9</v>
          </cell>
          <cell r="K45" t="str">
            <v>#165.5</v>
          </cell>
          <cell r="L45" t="str">
            <v>#141.8</v>
          </cell>
          <cell r="M45" t="str">
            <v>#23.7</v>
          </cell>
          <cell r="N45" t="str">
            <v>#18.9</v>
          </cell>
          <cell r="O45" t="str">
            <v>#150.1</v>
          </cell>
          <cell r="P45" t="str">
            <v>#134.9</v>
          </cell>
          <cell r="Q45" t="str">
            <v>#15.2</v>
          </cell>
        </row>
        <row r="46">
          <cell r="C46" t="str">
            <v>輸送用機械器具</v>
          </cell>
          <cell r="F46">
            <v>20.8</v>
          </cell>
          <cell r="G46">
            <v>190.8</v>
          </cell>
          <cell r="H46">
            <v>168.4</v>
          </cell>
          <cell r="I46">
            <v>22.4</v>
          </cell>
          <cell r="J46">
            <v>20.9</v>
          </cell>
          <cell r="K46">
            <v>194.4</v>
          </cell>
          <cell r="L46">
            <v>169.7</v>
          </cell>
          <cell r="M46">
            <v>24.7</v>
          </cell>
          <cell r="N46">
            <v>20.7</v>
          </cell>
          <cell r="O46">
            <v>175.2</v>
          </cell>
          <cell r="P46">
            <v>162.5</v>
          </cell>
          <cell r="Q46">
            <v>12.7</v>
          </cell>
        </row>
        <row r="47">
          <cell r="C47" t="str">
            <v>その他の製造業</v>
          </cell>
          <cell r="F47">
            <v>20</v>
          </cell>
          <cell r="G47">
            <v>170.5</v>
          </cell>
          <cell r="H47">
            <v>148.19999999999999</v>
          </cell>
          <cell r="I47">
            <v>22.3</v>
          </cell>
          <cell r="J47">
            <v>20.3</v>
          </cell>
          <cell r="K47">
            <v>178.1</v>
          </cell>
          <cell r="L47">
            <v>151.5</v>
          </cell>
          <cell r="M47">
            <v>26.6</v>
          </cell>
          <cell r="N47">
            <v>18.899999999999999</v>
          </cell>
          <cell r="O47">
            <v>142.80000000000001</v>
          </cell>
          <cell r="P47">
            <v>136</v>
          </cell>
          <cell r="Q47">
            <v>6.8</v>
          </cell>
        </row>
        <row r="48">
          <cell r="C48" t="str">
            <v>Ｅ一括分１</v>
          </cell>
          <cell r="F48">
            <v>19.3</v>
          </cell>
          <cell r="G48">
            <v>168.8</v>
          </cell>
          <cell r="H48">
            <v>156.6</v>
          </cell>
          <cell r="I48">
            <v>12.2</v>
          </cell>
          <cell r="J48">
            <v>19.899999999999999</v>
          </cell>
          <cell r="K48">
            <v>177.2</v>
          </cell>
          <cell r="L48">
            <v>161.19999999999999</v>
          </cell>
          <cell r="M48">
            <v>16</v>
          </cell>
          <cell r="N48">
            <v>18.5</v>
          </cell>
          <cell r="O48">
            <v>156.30000000000001</v>
          </cell>
          <cell r="P48">
            <v>149.69999999999999</v>
          </cell>
          <cell r="Q48">
            <v>6.6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19.399999999999999</v>
          </cell>
          <cell r="G51">
            <v>157.30000000000001</v>
          </cell>
          <cell r="H51">
            <v>147.6</v>
          </cell>
          <cell r="I51">
            <v>9.6999999999999993</v>
          </cell>
          <cell r="J51">
            <v>19.399999999999999</v>
          </cell>
          <cell r="K51">
            <v>160.80000000000001</v>
          </cell>
          <cell r="L51">
            <v>148.4</v>
          </cell>
          <cell r="M51">
            <v>12.4</v>
          </cell>
          <cell r="N51">
            <v>19.399999999999999</v>
          </cell>
          <cell r="O51">
            <v>149.1</v>
          </cell>
          <cell r="P51">
            <v>145.69999999999999</v>
          </cell>
          <cell r="Q51">
            <v>3.4</v>
          </cell>
        </row>
        <row r="52">
          <cell r="C52" t="str">
            <v>小売業</v>
          </cell>
          <cell r="F52">
            <v>17</v>
          </cell>
          <cell r="G52">
            <v>113.1</v>
          </cell>
          <cell r="H52">
            <v>107.4</v>
          </cell>
          <cell r="I52">
            <v>5.7</v>
          </cell>
          <cell r="J52">
            <v>17.899999999999999</v>
          </cell>
          <cell r="K52">
            <v>136.30000000000001</v>
          </cell>
          <cell r="L52">
            <v>124.5</v>
          </cell>
          <cell r="M52">
            <v>11.8</v>
          </cell>
          <cell r="N52">
            <v>16.7</v>
          </cell>
          <cell r="O52">
            <v>103.9</v>
          </cell>
          <cell r="P52">
            <v>100.6</v>
          </cell>
          <cell r="Q52">
            <v>3.3</v>
          </cell>
        </row>
        <row r="53">
          <cell r="C53" t="str">
            <v>宿泊業</v>
          </cell>
          <cell r="F53">
            <v>18.2</v>
          </cell>
          <cell r="G53">
            <v>127.1</v>
          </cell>
          <cell r="H53">
            <v>117.6</v>
          </cell>
          <cell r="I53">
            <v>9.5</v>
          </cell>
          <cell r="J53">
            <v>18.3</v>
          </cell>
          <cell r="K53">
            <v>137.6</v>
          </cell>
          <cell r="L53">
            <v>123.5</v>
          </cell>
          <cell r="M53">
            <v>14.1</v>
          </cell>
          <cell r="N53">
            <v>18.100000000000001</v>
          </cell>
          <cell r="O53">
            <v>119.6</v>
          </cell>
          <cell r="P53">
            <v>113.4</v>
          </cell>
          <cell r="Q53">
            <v>6.2</v>
          </cell>
        </row>
        <row r="54">
          <cell r="C54" t="str">
            <v>Ｍ一括分</v>
          </cell>
          <cell r="F54">
            <v>13.4</v>
          </cell>
          <cell r="G54">
            <v>82.2</v>
          </cell>
          <cell r="H54">
            <v>78.900000000000006</v>
          </cell>
          <cell r="I54">
            <v>3.3</v>
          </cell>
          <cell r="J54">
            <v>12.7</v>
          </cell>
          <cell r="K54">
            <v>81.900000000000006</v>
          </cell>
          <cell r="L54">
            <v>77.099999999999994</v>
          </cell>
          <cell r="M54">
            <v>4.8</v>
          </cell>
          <cell r="N54">
            <v>13.7</v>
          </cell>
          <cell r="O54">
            <v>82.4</v>
          </cell>
          <cell r="P54">
            <v>79.8</v>
          </cell>
          <cell r="Q54">
            <v>2.6</v>
          </cell>
        </row>
        <row r="55">
          <cell r="C55" t="str">
            <v>医療業</v>
          </cell>
          <cell r="F55">
            <v>18.899999999999999</v>
          </cell>
          <cell r="G55">
            <v>143.6</v>
          </cell>
          <cell r="H55">
            <v>139</v>
          </cell>
          <cell r="I55">
            <v>4.5999999999999996</v>
          </cell>
          <cell r="J55">
            <v>19.8</v>
          </cell>
          <cell r="K55">
            <v>154.1</v>
          </cell>
          <cell r="L55">
            <v>147.69999999999999</v>
          </cell>
          <cell r="M55">
            <v>6.4</v>
          </cell>
          <cell r="N55">
            <v>18.600000000000001</v>
          </cell>
          <cell r="O55">
            <v>140.30000000000001</v>
          </cell>
          <cell r="P55">
            <v>136.30000000000001</v>
          </cell>
          <cell r="Q55">
            <v>4</v>
          </cell>
        </row>
        <row r="56">
          <cell r="C56" t="str">
            <v>Ｐ一括分</v>
          </cell>
          <cell r="F56">
            <v>19.399999999999999</v>
          </cell>
          <cell r="G56">
            <v>135.4</v>
          </cell>
          <cell r="H56">
            <v>130.80000000000001</v>
          </cell>
          <cell r="I56">
            <v>4.5999999999999996</v>
          </cell>
          <cell r="J56">
            <v>19.899999999999999</v>
          </cell>
          <cell r="K56">
            <v>137.5</v>
          </cell>
          <cell r="L56">
            <v>130.69999999999999</v>
          </cell>
          <cell r="M56">
            <v>6.8</v>
          </cell>
          <cell r="N56">
            <v>19.2</v>
          </cell>
          <cell r="O56">
            <v>134.6</v>
          </cell>
          <cell r="P56">
            <v>130.80000000000001</v>
          </cell>
          <cell r="Q56">
            <v>3.8</v>
          </cell>
        </row>
        <row r="57">
          <cell r="C57" t="str">
            <v>職業紹介・派遣業</v>
          </cell>
          <cell r="F57">
            <v>19.600000000000001</v>
          </cell>
          <cell r="G57">
            <v>164.6</v>
          </cell>
          <cell r="H57">
            <v>154.30000000000001</v>
          </cell>
          <cell r="I57">
            <v>10.3</v>
          </cell>
          <cell r="J57">
            <v>20.2</v>
          </cell>
          <cell r="K57">
            <v>183</v>
          </cell>
          <cell r="L57">
            <v>166.8</v>
          </cell>
          <cell r="M57">
            <v>16.2</v>
          </cell>
          <cell r="N57">
            <v>19.100000000000001</v>
          </cell>
          <cell r="O57">
            <v>149.1</v>
          </cell>
          <cell r="P57">
            <v>143.80000000000001</v>
          </cell>
          <cell r="Q57">
            <v>5.3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18.7</v>
          </cell>
          <cell r="G59">
            <v>137.1</v>
          </cell>
          <cell r="H59">
            <v>127.2</v>
          </cell>
          <cell r="I59">
            <v>9.9</v>
          </cell>
          <cell r="J59">
            <v>19.100000000000001</v>
          </cell>
          <cell r="K59">
            <v>155.4</v>
          </cell>
          <cell r="L59">
            <v>141.1</v>
          </cell>
          <cell r="M59">
            <v>14.3</v>
          </cell>
          <cell r="N59">
            <v>18.3</v>
          </cell>
          <cell r="O59">
            <v>117.5</v>
          </cell>
          <cell r="P59">
            <v>112.2</v>
          </cell>
          <cell r="Q59">
            <v>5.3</v>
          </cell>
        </row>
        <row r="60">
          <cell r="C60" t="str">
            <v>特掲産業１</v>
          </cell>
          <cell r="F60" t="str">
            <v>#14.5</v>
          </cell>
          <cell r="G60" t="str">
            <v>#115</v>
          </cell>
          <cell r="H60" t="str">
            <v>#109.8</v>
          </cell>
          <cell r="I60" t="str">
            <v>#5.2</v>
          </cell>
          <cell r="J60" t="str">
            <v>#15.1</v>
          </cell>
          <cell r="K60" t="str">
            <v>#122.6</v>
          </cell>
          <cell r="L60" t="str">
            <v>#115.9</v>
          </cell>
          <cell r="M60" t="str">
            <v>#6.7</v>
          </cell>
          <cell r="N60" t="str">
            <v>#13.3</v>
          </cell>
          <cell r="O60" t="str">
            <v>#98.4</v>
          </cell>
          <cell r="P60" t="str">
            <v>#96.4</v>
          </cell>
          <cell r="Q60" t="str">
            <v>#2</v>
          </cell>
        </row>
        <row r="61">
          <cell r="C61" t="str">
            <v>特掲産業２</v>
          </cell>
          <cell r="F61" t="str">
            <v>#17.5</v>
          </cell>
          <cell r="G61" t="str">
            <v>#151.9</v>
          </cell>
          <cell r="H61" t="str">
            <v>#140.8</v>
          </cell>
          <cell r="I61" t="str">
            <v>#11.1</v>
          </cell>
          <cell r="J61" t="str">
            <v>#18.5</v>
          </cell>
          <cell r="K61" t="str">
            <v>#161.8</v>
          </cell>
          <cell r="L61" t="str">
            <v>#145.9</v>
          </cell>
          <cell r="M61" t="str">
            <v>#15.9</v>
          </cell>
          <cell r="N61" t="str">
            <v>#16.3</v>
          </cell>
          <cell r="O61" t="str">
            <v>#140.4</v>
          </cell>
          <cell r="P61" t="str">
            <v>#134.8</v>
          </cell>
          <cell r="Q61" t="str">
            <v>#5.6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18.7</v>
          </cell>
          <cell r="G80">
            <v>141.1</v>
          </cell>
          <cell r="H80">
            <v>131.9</v>
          </cell>
          <cell r="I80">
            <v>9.1999999999999993</v>
          </cell>
          <cell r="J80">
            <v>19.3</v>
          </cell>
          <cell r="K80">
            <v>155.9</v>
          </cell>
          <cell r="L80">
            <v>142.1</v>
          </cell>
          <cell r="M80">
            <v>13.8</v>
          </cell>
          <cell r="N80">
            <v>18</v>
          </cell>
          <cell r="O80">
            <v>127.1</v>
          </cell>
          <cell r="P80">
            <v>122.3</v>
          </cell>
          <cell r="Q80">
            <v>4.8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20.7</v>
          </cell>
          <cell r="G82">
            <v>163.1</v>
          </cell>
          <cell r="H82">
            <v>152.6</v>
          </cell>
          <cell r="I82">
            <v>10.5</v>
          </cell>
          <cell r="J82">
            <v>20.9</v>
          </cell>
          <cell r="K82">
            <v>167.6</v>
          </cell>
          <cell r="L82">
            <v>155.69999999999999</v>
          </cell>
          <cell r="M82">
            <v>11.9</v>
          </cell>
          <cell r="N82">
            <v>19.8</v>
          </cell>
          <cell r="O82">
            <v>139.1</v>
          </cell>
          <cell r="P82">
            <v>136.19999999999999</v>
          </cell>
          <cell r="Q82">
            <v>2.9</v>
          </cell>
        </row>
        <row r="83">
          <cell r="C83" t="str">
            <v>製造業</v>
          </cell>
          <cell r="F83">
            <v>19.5</v>
          </cell>
          <cell r="G83">
            <v>157.9</v>
          </cell>
          <cell r="H83">
            <v>145.19999999999999</v>
          </cell>
          <cell r="I83">
            <v>12.7</v>
          </cell>
          <cell r="J83">
            <v>19.899999999999999</v>
          </cell>
          <cell r="K83">
            <v>168.4</v>
          </cell>
          <cell r="L83">
            <v>151.30000000000001</v>
          </cell>
          <cell r="M83">
            <v>17.100000000000001</v>
          </cell>
          <cell r="N83">
            <v>19</v>
          </cell>
          <cell r="O83">
            <v>143.30000000000001</v>
          </cell>
          <cell r="P83">
            <v>136.69999999999999</v>
          </cell>
          <cell r="Q83">
            <v>6.6</v>
          </cell>
        </row>
        <row r="84">
          <cell r="C84" t="str">
            <v>電気・ガス・熱供給・水道業</v>
          </cell>
          <cell r="F84">
            <v>19.899999999999999</v>
          </cell>
          <cell r="G84">
            <v>164.1</v>
          </cell>
          <cell r="H84">
            <v>149</v>
          </cell>
          <cell r="I84">
            <v>15.1</v>
          </cell>
          <cell r="J84">
            <v>19.8</v>
          </cell>
          <cell r="K84">
            <v>165.1</v>
          </cell>
          <cell r="L84">
            <v>149.4</v>
          </cell>
          <cell r="M84">
            <v>15.7</v>
          </cell>
          <cell r="N84">
            <v>20.8</v>
          </cell>
          <cell r="O84">
            <v>157.19999999999999</v>
          </cell>
          <cell r="P84">
            <v>146.30000000000001</v>
          </cell>
          <cell r="Q84">
            <v>10.9</v>
          </cell>
        </row>
        <row r="85">
          <cell r="C85" t="str">
            <v>情報通信業</v>
          </cell>
          <cell r="F85">
            <v>19.600000000000001</v>
          </cell>
          <cell r="G85">
            <v>161.30000000000001</v>
          </cell>
          <cell r="H85">
            <v>148.6</v>
          </cell>
          <cell r="I85">
            <v>12.7</v>
          </cell>
          <cell r="J85">
            <v>19.8</v>
          </cell>
          <cell r="K85">
            <v>164.5</v>
          </cell>
          <cell r="L85">
            <v>150.69999999999999</v>
          </cell>
          <cell r="M85">
            <v>13.8</v>
          </cell>
          <cell r="N85">
            <v>19.2</v>
          </cell>
          <cell r="O85">
            <v>154.6</v>
          </cell>
          <cell r="P85">
            <v>144.19999999999999</v>
          </cell>
          <cell r="Q85">
            <v>10.4</v>
          </cell>
        </row>
        <row r="86">
          <cell r="C86" t="str">
            <v>運輸業，郵便業</v>
          </cell>
          <cell r="F86">
            <v>20.2</v>
          </cell>
          <cell r="G86">
            <v>176.1</v>
          </cell>
          <cell r="H86">
            <v>150</v>
          </cell>
          <cell r="I86">
            <v>26.1</v>
          </cell>
          <cell r="J86">
            <v>20.5</v>
          </cell>
          <cell r="K86">
            <v>182.8</v>
          </cell>
          <cell r="L86">
            <v>153.1</v>
          </cell>
          <cell r="M86">
            <v>29.7</v>
          </cell>
          <cell r="N86">
            <v>18.600000000000001</v>
          </cell>
          <cell r="O86">
            <v>141.80000000000001</v>
          </cell>
          <cell r="P86">
            <v>134.1</v>
          </cell>
          <cell r="Q86">
            <v>7.7</v>
          </cell>
        </row>
        <row r="87">
          <cell r="C87" t="str">
            <v>卸売業，小売業</v>
          </cell>
          <cell r="F87">
            <v>17.7</v>
          </cell>
          <cell r="G87">
            <v>131.80000000000001</v>
          </cell>
          <cell r="H87">
            <v>124.6</v>
          </cell>
          <cell r="I87">
            <v>7.2</v>
          </cell>
          <cell r="J87">
            <v>18.3</v>
          </cell>
          <cell r="K87">
            <v>147.69999999999999</v>
          </cell>
          <cell r="L87">
            <v>137.19999999999999</v>
          </cell>
          <cell r="M87">
            <v>10.5</v>
          </cell>
          <cell r="N87">
            <v>17.100000000000001</v>
          </cell>
          <cell r="O87">
            <v>114</v>
          </cell>
          <cell r="P87">
            <v>110.5</v>
          </cell>
          <cell r="Q87">
            <v>3.5</v>
          </cell>
        </row>
        <row r="88">
          <cell r="C88" t="str">
            <v>金融業，保険業</v>
          </cell>
          <cell r="F88">
            <v>20</v>
          </cell>
          <cell r="G88">
            <v>149.4</v>
          </cell>
          <cell r="H88">
            <v>143.69999999999999</v>
          </cell>
          <cell r="I88">
            <v>5.7</v>
          </cell>
          <cell r="J88">
            <v>20.8</v>
          </cell>
          <cell r="K88">
            <v>163.30000000000001</v>
          </cell>
          <cell r="L88">
            <v>154.69999999999999</v>
          </cell>
          <cell r="M88">
            <v>8.6</v>
          </cell>
          <cell r="N88">
            <v>19.399999999999999</v>
          </cell>
          <cell r="O88">
            <v>139.5</v>
          </cell>
          <cell r="P88">
            <v>135.80000000000001</v>
          </cell>
          <cell r="Q88">
            <v>3.7</v>
          </cell>
        </row>
        <row r="89">
          <cell r="C89" t="str">
            <v>不動産業，物品賃貸業</v>
          </cell>
          <cell r="F89">
            <v>17.2</v>
          </cell>
          <cell r="G89">
            <v>110.3</v>
          </cell>
          <cell r="H89">
            <v>107</v>
          </cell>
          <cell r="I89">
            <v>3.3</v>
          </cell>
          <cell r="J89">
            <v>19.399999999999999</v>
          </cell>
          <cell r="K89">
            <v>157.1</v>
          </cell>
          <cell r="L89">
            <v>149.69999999999999</v>
          </cell>
          <cell r="M89">
            <v>7.4</v>
          </cell>
          <cell r="N89">
            <v>15.9</v>
          </cell>
          <cell r="O89">
            <v>81.599999999999994</v>
          </cell>
          <cell r="P89">
            <v>80.900000000000006</v>
          </cell>
          <cell r="Q89">
            <v>0.7</v>
          </cell>
        </row>
        <row r="90">
          <cell r="C90" t="str">
            <v>学術研究，専門・技術サービス業</v>
          </cell>
          <cell r="F90">
            <v>20.100000000000001</v>
          </cell>
          <cell r="G90">
            <v>161.30000000000001</v>
          </cell>
          <cell r="H90">
            <v>151.6</v>
          </cell>
          <cell r="I90">
            <v>9.6999999999999993</v>
          </cell>
          <cell r="J90">
            <v>19.5</v>
          </cell>
          <cell r="K90">
            <v>160.80000000000001</v>
          </cell>
          <cell r="L90">
            <v>152.69999999999999</v>
          </cell>
          <cell r="M90">
            <v>8.1</v>
          </cell>
          <cell r="N90">
            <v>21.3</v>
          </cell>
          <cell r="O90">
            <v>162.30000000000001</v>
          </cell>
          <cell r="P90">
            <v>149.6</v>
          </cell>
          <cell r="Q90">
            <v>12.7</v>
          </cell>
        </row>
        <row r="91">
          <cell r="C91" t="str">
            <v>宿泊業，飲食サービス業</v>
          </cell>
          <cell r="F91">
            <v>15.1</v>
          </cell>
          <cell r="G91">
            <v>85.5</v>
          </cell>
          <cell r="H91">
            <v>81.900000000000006</v>
          </cell>
          <cell r="I91">
            <v>3.6</v>
          </cell>
          <cell r="J91">
            <v>15.9</v>
          </cell>
          <cell r="K91">
            <v>92.6</v>
          </cell>
          <cell r="L91">
            <v>86.4</v>
          </cell>
          <cell r="M91">
            <v>6.2</v>
          </cell>
          <cell r="N91">
            <v>14.7</v>
          </cell>
          <cell r="O91">
            <v>82</v>
          </cell>
          <cell r="P91">
            <v>79.7</v>
          </cell>
          <cell r="Q91">
            <v>2.2999999999999998</v>
          </cell>
        </row>
        <row r="92">
          <cell r="C92" t="str">
            <v>生活関連サービス業，娯楽業</v>
          </cell>
          <cell r="F92">
            <v>16.899999999999999</v>
          </cell>
          <cell r="G92">
            <v>120.8</v>
          </cell>
          <cell r="H92">
            <v>116</v>
          </cell>
          <cell r="I92">
            <v>4.8</v>
          </cell>
          <cell r="J92">
            <v>16.399999999999999</v>
          </cell>
          <cell r="K92">
            <v>123.7</v>
          </cell>
          <cell r="L92">
            <v>117.8</v>
          </cell>
          <cell r="M92">
            <v>5.9</v>
          </cell>
          <cell r="N92">
            <v>17.600000000000001</v>
          </cell>
          <cell r="O92">
            <v>116.8</v>
          </cell>
          <cell r="P92">
            <v>113.6</v>
          </cell>
          <cell r="Q92">
            <v>3.2</v>
          </cell>
        </row>
        <row r="93">
          <cell r="C93" t="str">
            <v>教育，学習支援業</v>
          </cell>
          <cell r="F93">
            <v>19.2</v>
          </cell>
          <cell r="G93">
            <v>157.19999999999999</v>
          </cell>
          <cell r="H93">
            <v>137.4</v>
          </cell>
          <cell r="I93">
            <v>19.8</v>
          </cell>
          <cell r="J93">
            <v>19.8</v>
          </cell>
          <cell r="K93">
            <v>170.1</v>
          </cell>
          <cell r="L93">
            <v>142.30000000000001</v>
          </cell>
          <cell r="M93">
            <v>27.8</v>
          </cell>
          <cell r="N93">
            <v>18.600000000000001</v>
          </cell>
          <cell r="O93">
            <v>146</v>
          </cell>
          <cell r="P93">
            <v>133.1</v>
          </cell>
          <cell r="Q93">
            <v>12.9</v>
          </cell>
        </row>
        <row r="94">
          <cell r="C94" t="str">
            <v>医療，福祉</v>
          </cell>
          <cell r="F94">
            <v>18.7</v>
          </cell>
          <cell r="G94">
            <v>134.69999999999999</v>
          </cell>
          <cell r="H94">
            <v>130.80000000000001</v>
          </cell>
          <cell r="I94">
            <v>3.9</v>
          </cell>
          <cell r="J94">
            <v>19.600000000000001</v>
          </cell>
          <cell r="K94">
            <v>140.69999999999999</v>
          </cell>
          <cell r="L94">
            <v>135.4</v>
          </cell>
          <cell r="M94">
            <v>5.3</v>
          </cell>
          <cell r="N94">
            <v>18.399999999999999</v>
          </cell>
          <cell r="O94">
            <v>132.80000000000001</v>
          </cell>
          <cell r="P94">
            <v>129.4</v>
          </cell>
          <cell r="Q94">
            <v>3.4</v>
          </cell>
        </row>
        <row r="95">
          <cell r="C95" t="str">
            <v>複合サービス事業</v>
          </cell>
          <cell r="F95">
            <v>19.3</v>
          </cell>
          <cell r="G95">
            <v>154</v>
          </cell>
          <cell r="H95">
            <v>148.30000000000001</v>
          </cell>
          <cell r="I95">
            <v>5.7</v>
          </cell>
          <cell r="J95">
            <v>18.899999999999999</v>
          </cell>
          <cell r="K95">
            <v>152.19999999999999</v>
          </cell>
          <cell r="L95">
            <v>147.4</v>
          </cell>
          <cell r="M95">
            <v>4.8</v>
          </cell>
          <cell r="N95">
            <v>20</v>
          </cell>
          <cell r="O95">
            <v>156.69999999999999</v>
          </cell>
          <cell r="P95">
            <v>149.6</v>
          </cell>
          <cell r="Q95">
            <v>7.1</v>
          </cell>
        </row>
        <row r="96">
          <cell r="C96" t="str">
            <v>サービス業（他に分類されないもの）</v>
          </cell>
          <cell r="F96">
            <v>19.100000000000001</v>
          </cell>
          <cell r="G96">
            <v>145.4</v>
          </cell>
          <cell r="H96">
            <v>136.4</v>
          </cell>
          <cell r="I96">
            <v>9</v>
          </cell>
          <cell r="J96">
            <v>19.8</v>
          </cell>
          <cell r="K96">
            <v>162.1</v>
          </cell>
          <cell r="L96">
            <v>149.1</v>
          </cell>
          <cell r="M96">
            <v>13</v>
          </cell>
          <cell r="N96">
            <v>18.5</v>
          </cell>
          <cell r="O96">
            <v>129</v>
          </cell>
          <cell r="P96">
            <v>123.9</v>
          </cell>
          <cell r="Q96">
            <v>5.0999999999999996</v>
          </cell>
        </row>
        <row r="97">
          <cell r="C97" t="str">
            <v>食料品・たばこ</v>
          </cell>
          <cell r="F97">
            <v>18.5</v>
          </cell>
          <cell r="G97">
            <v>141.19999999999999</v>
          </cell>
          <cell r="H97">
            <v>132.30000000000001</v>
          </cell>
          <cell r="I97">
            <v>8.9</v>
          </cell>
          <cell r="J97">
            <v>18.899999999999999</v>
          </cell>
          <cell r="K97">
            <v>155.9</v>
          </cell>
          <cell r="L97">
            <v>142.5</v>
          </cell>
          <cell r="M97">
            <v>13.4</v>
          </cell>
          <cell r="N97">
            <v>18.2</v>
          </cell>
          <cell r="O97">
            <v>130.80000000000001</v>
          </cell>
          <cell r="P97">
            <v>125</v>
          </cell>
          <cell r="Q97">
            <v>5.8</v>
          </cell>
        </row>
        <row r="98">
          <cell r="C98" t="str">
            <v>繊維工業</v>
          </cell>
          <cell r="F98">
            <v>20.6</v>
          </cell>
          <cell r="G98">
            <v>169.5</v>
          </cell>
          <cell r="H98">
            <v>155.19999999999999</v>
          </cell>
          <cell r="I98">
            <v>14.3</v>
          </cell>
          <cell r="J98">
            <v>20.9</v>
          </cell>
          <cell r="K98">
            <v>172.3</v>
          </cell>
          <cell r="L98">
            <v>156.1</v>
          </cell>
          <cell r="M98">
            <v>16.2</v>
          </cell>
          <cell r="N98">
            <v>20.5</v>
          </cell>
          <cell r="O98">
            <v>168</v>
          </cell>
          <cell r="P98">
            <v>154.69999999999999</v>
          </cell>
          <cell r="Q98">
            <v>13.3</v>
          </cell>
        </row>
        <row r="99">
          <cell r="C99" t="str">
            <v>木材・木製品</v>
          </cell>
          <cell r="F99">
            <v>20.6</v>
          </cell>
          <cell r="G99">
            <v>162.5</v>
          </cell>
          <cell r="H99">
            <v>150.6</v>
          </cell>
          <cell r="I99">
            <v>11.9</v>
          </cell>
          <cell r="J99">
            <v>20.5</v>
          </cell>
          <cell r="K99">
            <v>167.5</v>
          </cell>
          <cell r="L99">
            <v>152.1</v>
          </cell>
          <cell r="M99">
            <v>15.4</v>
          </cell>
          <cell r="N99">
            <v>20.9</v>
          </cell>
          <cell r="O99">
            <v>151.9</v>
          </cell>
          <cell r="P99">
            <v>147.5</v>
          </cell>
          <cell r="Q99">
            <v>4.4000000000000004</v>
          </cell>
        </row>
        <row r="100">
          <cell r="C100" t="str">
            <v>家具・装備品</v>
          </cell>
          <cell r="F100" t="str">
            <v>#18.9</v>
          </cell>
          <cell r="G100" t="str">
            <v>#141.9</v>
          </cell>
          <cell r="H100" t="str">
            <v>#141.9</v>
          </cell>
          <cell r="I100" t="str">
            <v>#0</v>
          </cell>
          <cell r="J100" t="str">
            <v>#18.9</v>
          </cell>
          <cell r="K100" t="str">
            <v>#146.1</v>
          </cell>
          <cell r="L100" t="str">
            <v>#146.1</v>
          </cell>
          <cell r="M100" t="str">
            <v>#0</v>
          </cell>
          <cell r="N100" t="str">
            <v>#19</v>
          </cell>
          <cell r="O100" t="str">
            <v>#131.3</v>
          </cell>
          <cell r="P100" t="str">
            <v>#131.3</v>
          </cell>
          <cell r="Q100" t="str">
            <v>#0</v>
          </cell>
        </row>
        <row r="101">
          <cell r="C101" t="str">
            <v>パルプ・紙</v>
          </cell>
          <cell r="F101">
            <v>21.6</v>
          </cell>
          <cell r="G101">
            <v>167.7</v>
          </cell>
          <cell r="H101">
            <v>158.1</v>
          </cell>
          <cell r="I101">
            <v>9.6</v>
          </cell>
          <cell r="J101">
            <v>21.8</v>
          </cell>
          <cell r="K101">
            <v>171</v>
          </cell>
          <cell r="L101">
            <v>159</v>
          </cell>
          <cell r="M101">
            <v>12</v>
          </cell>
          <cell r="N101">
            <v>21.1</v>
          </cell>
          <cell r="O101">
            <v>156.80000000000001</v>
          </cell>
          <cell r="P101">
            <v>155.4</v>
          </cell>
          <cell r="Q101">
            <v>1.4</v>
          </cell>
        </row>
        <row r="102">
          <cell r="C102" t="str">
            <v>印刷・同関連業</v>
          </cell>
          <cell r="F102">
            <v>21.7</v>
          </cell>
          <cell r="G102">
            <v>178.6</v>
          </cell>
          <cell r="H102">
            <v>167</v>
          </cell>
          <cell r="I102">
            <v>11.6</v>
          </cell>
          <cell r="J102">
            <v>21.3</v>
          </cell>
          <cell r="K102">
            <v>177.5</v>
          </cell>
          <cell r="L102">
            <v>163.9</v>
          </cell>
          <cell r="M102">
            <v>13.6</v>
          </cell>
          <cell r="N102">
            <v>22.5</v>
          </cell>
          <cell r="O102">
            <v>181.2</v>
          </cell>
          <cell r="P102">
            <v>174.2</v>
          </cell>
          <cell r="Q102">
            <v>7</v>
          </cell>
        </row>
        <row r="103">
          <cell r="C103" t="str">
            <v>化学、石油・石炭</v>
          </cell>
          <cell r="F103">
            <v>19.899999999999999</v>
          </cell>
          <cell r="G103">
            <v>164</v>
          </cell>
          <cell r="H103">
            <v>145.9</v>
          </cell>
          <cell r="I103">
            <v>18.100000000000001</v>
          </cell>
          <cell r="J103">
            <v>20</v>
          </cell>
          <cell r="K103">
            <v>165.3</v>
          </cell>
          <cell r="L103">
            <v>146.30000000000001</v>
          </cell>
          <cell r="M103">
            <v>19</v>
          </cell>
          <cell r="N103">
            <v>18.899999999999999</v>
          </cell>
          <cell r="O103">
            <v>146.6</v>
          </cell>
          <cell r="P103">
            <v>141</v>
          </cell>
          <cell r="Q103">
            <v>5.6</v>
          </cell>
        </row>
        <row r="104">
          <cell r="C104" t="str">
            <v>プラスチック製品</v>
          </cell>
          <cell r="F104">
            <v>21.1</v>
          </cell>
          <cell r="G104">
            <v>169.1</v>
          </cell>
          <cell r="H104">
            <v>157.80000000000001</v>
          </cell>
          <cell r="I104">
            <v>11.3</v>
          </cell>
          <cell r="J104">
            <v>21.4</v>
          </cell>
          <cell r="K104">
            <v>178.8</v>
          </cell>
          <cell r="L104">
            <v>164.1</v>
          </cell>
          <cell r="M104">
            <v>14.7</v>
          </cell>
          <cell r="N104">
            <v>20.100000000000001</v>
          </cell>
          <cell r="O104">
            <v>139.80000000000001</v>
          </cell>
          <cell r="P104">
            <v>138.69999999999999</v>
          </cell>
          <cell r="Q104">
            <v>1.1000000000000001</v>
          </cell>
        </row>
        <row r="105">
          <cell r="C105" t="str">
            <v>ゴム製品</v>
          </cell>
          <cell r="F105">
            <v>21.1</v>
          </cell>
          <cell r="G105">
            <v>177.7</v>
          </cell>
          <cell r="H105">
            <v>154.69999999999999</v>
          </cell>
          <cell r="I105">
            <v>23</v>
          </cell>
          <cell r="J105">
            <v>21.3</v>
          </cell>
          <cell r="K105">
            <v>180.8</v>
          </cell>
          <cell r="L105">
            <v>155.5</v>
          </cell>
          <cell r="M105">
            <v>25.3</v>
          </cell>
          <cell r="N105">
            <v>19.600000000000001</v>
          </cell>
          <cell r="O105">
            <v>157.30000000000001</v>
          </cell>
          <cell r="P105">
            <v>149.69999999999999</v>
          </cell>
          <cell r="Q105">
            <v>7.6</v>
          </cell>
        </row>
        <row r="106">
          <cell r="C106" t="str">
            <v>窯業・土石製品</v>
          </cell>
          <cell r="F106">
            <v>18.3</v>
          </cell>
          <cell r="G106">
            <v>154</v>
          </cell>
          <cell r="H106">
            <v>144</v>
          </cell>
          <cell r="I106">
            <v>10</v>
          </cell>
          <cell r="J106">
            <v>17.899999999999999</v>
          </cell>
          <cell r="K106">
            <v>154.9</v>
          </cell>
          <cell r="L106">
            <v>142.1</v>
          </cell>
          <cell r="M106">
            <v>12.8</v>
          </cell>
          <cell r="N106">
            <v>19.7</v>
          </cell>
          <cell r="O106">
            <v>150.9</v>
          </cell>
          <cell r="P106">
            <v>149.9</v>
          </cell>
          <cell r="Q106">
            <v>1</v>
          </cell>
        </row>
        <row r="107">
          <cell r="C107" t="str">
            <v>鉄鋼業</v>
          </cell>
          <cell r="F107">
            <v>20.9</v>
          </cell>
          <cell r="G107">
            <v>181.7</v>
          </cell>
          <cell r="H107">
            <v>161.4</v>
          </cell>
          <cell r="I107">
            <v>20.3</v>
          </cell>
          <cell r="J107">
            <v>20.3</v>
          </cell>
          <cell r="K107">
            <v>182</v>
          </cell>
          <cell r="L107">
            <v>159.80000000000001</v>
          </cell>
          <cell r="M107">
            <v>22.2</v>
          </cell>
          <cell r="N107">
            <v>23.1</v>
          </cell>
          <cell r="O107">
            <v>180.4</v>
          </cell>
          <cell r="P107">
            <v>168.1</v>
          </cell>
          <cell r="Q107">
            <v>12.3</v>
          </cell>
        </row>
        <row r="108">
          <cell r="C108" t="str">
            <v>非鉄金属製造業</v>
          </cell>
          <cell r="F108" t="str">
            <v>#20</v>
          </cell>
          <cell r="G108" t="str">
            <v>#159.7</v>
          </cell>
          <cell r="H108" t="str">
            <v>#158.5</v>
          </cell>
          <cell r="I108" t="str">
            <v>#1.2</v>
          </cell>
          <cell r="J108" t="str">
            <v>#21.8</v>
          </cell>
          <cell r="K108" t="str">
            <v>#176.7</v>
          </cell>
          <cell r="L108" t="str">
            <v>#174.4</v>
          </cell>
          <cell r="M108" t="str">
            <v>#2.3</v>
          </cell>
          <cell r="N108" t="str">
            <v>#18.3</v>
          </cell>
          <cell r="O108" t="str">
            <v>#143.5</v>
          </cell>
          <cell r="P108" t="str">
            <v>#143.2</v>
          </cell>
          <cell r="Q108" t="str">
            <v>#0.3</v>
          </cell>
        </row>
        <row r="109">
          <cell r="C109" t="str">
            <v>金属製品製造業</v>
          </cell>
          <cell r="F109">
            <v>20.6</v>
          </cell>
          <cell r="G109">
            <v>166</v>
          </cell>
          <cell r="H109">
            <v>151.19999999999999</v>
          </cell>
          <cell r="I109">
            <v>14.8</v>
          </cell>
          <cell r="J109">
            <v>20.100000000000001</v>
          </cell>
          <cell r="K109">
            <v>171.7</v>
          </cell>
          <cell r="L109">
            <v>152.1</v>
          </cell>
          <cell r="M109">
            <v>19.600000000000001</v>
          </cell>
          <cell r="N109">
            <v>21.7</v>
          </cell>
          <cell r="O109">
            <v>154.69999999999999</v>
          </cell>
          <cell r="P109">
            <v>149.5</v>
          </cell>
          <cell r="Q109">
            <v>5.2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18.5</v>
          </cell>
          <cell r="G112">
            <v>153.80000000000001</v>
          </cell>
          <cell r="H112">
            <v>145.19999999999999</v>
          </cell>
          <cell r="I112">
            <v>8.6</v>
          </cell>
          <cell r="J112">
            <v>19.3</v>
          </cell>
          <cell r="K112">
            <v>161.4</v>
          </cell>
          <cell r="L112">
            <v>149.9</v>
          </cell>
          <cell r="M112">
            <v>11.5</v>
          </cell>
          <cell r="N112">
            <v>17.600000000000001</v>
          </cell>
          <cell r="O112">
            <v>146.69999999999999</v>
          </cell>
          <cell r="P112">
            <v>140.80000000000001</v>
          </cell>
          <cell r="Q112">
            <v>5.9</v>
          </cell>
        </row>
        <row r="113">
          <cell r="C113" t="str">
            <v>電子・デバイス</v>
          </cell>
          <cell r="F113">
            <v>19.100000000000001</v>
          </cell>
          <cell r="G113">
            <v>163</v>
          </cell>
          <cell r="H113">
            <v>148.80000000000001</v>
          </cell>
          <cell r="I113">
            <v>14.2</v>
          </cell>
          <cell r="J113">
            <v>19.3</v>
          </cell>
          <cell r="K113">
            <v>170.8</v>
          </cell>
          <cell r="L113">
            <v>152.80000000000001</v>
          </cell>
          <cell r="M113">
            <v>18</v>
          </cell>
          <cell r="N113">
            <v>18.600000000000001</v>
          </cell>
          <cell r="O113">
            <v>147.69999999999999</v>
          </cell>
          <cell r="P113">
            <v>140.9</v>
          </cell>
          <cell r="Q113">
            <v>6.8</v>
          </cell>
        </row>
        <row r="114">
          <cell r="C114" t="str">
            <v>電気機械器具</v>
          </cell>
          <cell r="F114">
            <v>19.3</v>
          </cell>
          <cell r="G114">
            <v>158.30000000000001</v>
          </cell>
          <cell r="H114">
            <v>146.80000000000001</v>
          </cell>
          <cell r="I114">
            <v>11.5</v>
          </cell>
          <cell r="J114">
            <v>19.399999999999999</v>
          </cell>
          <cell r="K114">
            <v>164.3</v>
          </cell>
          <cell r="L114">
            <v>149.30000000000001</v>
          </cell>
          <cell r="M114">
            <v>15</v>
          </cell>
          <cell r="N114">
            <v>19</v>
          </cell>
          <cell r="O114">
            <v>145.6</v>
          </cell>
          <cell r="P114">
            <v>141.5</v>
          </cell>
          <cell r="Q114">
            <v>4.0999999999999996</v>
          </cell>
        </row>
        <row r="115">
          <cell r="C115" t="str">
            <v>情報通信機械器具</v>
          </cell>
          <cell r="F115" t="str">
            <v>#18.9</v>
          </cell>
          <cell r="G115" t="str">
            <v>#159</v>
          </cell>
          <cell r="H115" t="str">
            <v>#138.9</v>
          </cell>
          <cell r="I115" t="str">
            <v>#20.1</v>
          </cell>
          <cell r="J115" t="str">
            <v>#18.9</v>
          </cell>
          <cell r="K115" t="str">
            <v>#165.5</v>
          </cell>
          <cell r="L115" t="str">
            <v>#141.8</v>
          </cell>
          <cell r="M115" t="str">
            <v>#23.7</v>
          </cell>
          <cell r="N115" t="str">
            <v>#18.9</v>
          </cell>
          <cell r="O115" t="str">
            <v>#150.1</v>
          </cell>
          <cell r="P115" t="str">
            <v>#134.9</v>
          </cell>
          <cell r="Q115" t="str">
            <v>#15.2</v>
          </cell>
        </row>
        <row r="116">
          <cell r="C116" t="str">
            <v>輸送用機械器具</v>
          </cell>
          <cell r="F116">
            <v>20.8</v>
          </cell>
          <cell r="G116">
            <v>190.8</v>
          </cell>
          <cell r="H116">
            <v>168.4</v>
          </cell>
          <cell r="I116">
            <v>22.4</v>
          </cell>
          <cell r="J116">
            <v>20.9</v>
          </cell>
          <cell r="K116">
            <v>194.4</v>
          </cell>
          <cell r="L116">
            <v>169.7</v>
          </cell>
          <cell r="M116">
            <v>24.7</v>
          </cell>
          <cell r="N116">
            <v>20.7</v>
          </cell>
          <cell r="O116">
            <v>175.2</v>
          </cell>
          <cell r="P116">
            <v>162.5</v>
          </cell>
          <cell r="Q116">
            <v>12.7</v>
          </cell>
        </row>
        <row r="117">
          <cell r="C117" t="str">
            <v>その他の製造業</v>
          </cell>
          <cell r="F117">
            <v>20</v>
          </cell>
          <cell r="G117">
            <v>170.5</v>
          </cell>
          <cell r="H117">
            <v>148.19999999999999</v>
          </cell>
          <cell r="I117">
            <v>22.3</v>
          </cell>
          <cell r="J117">
            <v>20.3</v>
          </cell>
          <cell r="K117">
            <v>178.1</v>
          </cell>
          <cell r="L117">
            <v>151.5</v>
          </cell>
          <cell r="M117">
            <v>26.6</v>
          </cell>
          <cell r="N117">
            <v>18.899999999999999</v>
          </cell>
          <cell r="O117">
            <v>142.80000000000001</v>
          </cell>
          <cell r="P117">
            <v>136</v>
          </cell>
          <cell r="Q117">
            <v>6.8</v>
          </cell>
        </row>
        <row r="118">
          <cell r="C118" t="str">
            <v>Ｅ一括分１</v>
          </cell>
          <cell r="F118">
            <v>19.7</v>
          </cell>
          <cell r="G118">
            <v>172.2</v>
          </cell>
          <cell r="H118">
            <v>153.4</v>
          </cell>
          <cell r="I118">
            <v>18.8</v>
          </cell>
          <cell r="J118">
            <v>20.3</v>
          </cell>
          <cell r="K118">
            <v>180.6</v>
          </cell>
          <cell r="L118">
            <v>155.69999999999999</v>
          </cell>
          <cell r="M118">
            <v>24.9</v>
          </cell>
          <cell r="N118">
            <v>18.5</v>
          </cell>
          <cell r="O118">
            <v>154.4</v>
          </cell>
          <cell r="P118">
            <v>148.6</v>
          </cell>
          <cell r="Q118">
            <v>5.8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20.100000000000001</v>
          </cell>
          <cell r="G121">
            <v>169</v>
          </cell>
          <cell r="H121">
            <v>158.1</v>
          </cell>
          <cell r="I121">
            <v>10.9</v>
          </cell>
          <cell r="J121">
            <v>20.399999999999999</v>
          </cell>
          <cell r="K121">
            <v>174.4</v>
          </cell>
          <cell r="L121">
            <v>162</v>
          </cell>
          <cell r="M121">
            <v>12.4</v>
          </cell>
          <cell r="N121">
            <v>18.7</v>
          </cell>
          <cell r="O121">
            <v>148.30000000000001</v>
          </cell>
          <cell r="P121">
            <v>143.1</v>
          </cell>
          <cell r="Q121">
            <v>5.2</v>
          </cell>
        </row>
        <row r="122">
          <cell r="C122" t="str">
            <v>小売業</v>
          </cell>
          <cell r="F122">
            <v>17</v>
          </cell>
          <cell r="G122">
            <v>119.3</v>
          </cell>
          <cell r="H122">
            <v>113.4</v>
          </cell>
          <cell r="I122">
            <v>5.9</v>
          </cell>
          <cell r="J122">
            <v>17.100000000000001</v>
          </cell>
          <cell r="K122">
            <v>131.5</v>
          </cell>
          <cell r="L122">
            <v>122.2</v>
          </cell>
          <cell r="M122">
            <v>9.3000000000000007</v>
          </cell>
          <cell r="N122">
            <v>16.899999999999999</v>
          </cell>
          <cell r="O122">
            <v>109.8</v>
          </cell>
          <cell r="P122">
            <v>106.5</v>
          </cell>
          <cell r="Q122">
            <v>3.3</v>
          </cell>
        </row>
        <row r="123">
          <cell r="C123" t="str">
            <v>宿泊業</v>
          </cell>
          <cell r="F123">
            <v>17.2</v>
          </cell>
          <cell r="G123">
            <v>115.4</v>
          </cell>
          <cell r="H123">
            <v>107.7</v>
          </cell>
          <cell r="I123">
            <v>7.7</v>
          </cell>
          <cell r="J123">
            <v>18.899999999999999</v>
          </cell>
          <cell r="K123">
            <v>140.30000000000001</v>
          </cell>
          <cell r="L123">
            <v>127.3</v>
          </cell>
          <cell r="M123">
            <v>13</v>
          </cell>
          <cell r="N123">
            <v>16.5</v>
          </cell>
          <cell r="O123">
            <v>104</v>
          </cell>
          <cell r="P123">
            <v>98.7</v>
          </cell>
          <cell r="Q123">
            <v>5.3</v>
          </cell>
        </row>
        <row r="124">
          <cell r="C124" t="str">
            <v>Ｍ一括分</v>
          </cell>
          <cell r="F124">
            <v>14.7</v>
          </cell>
          <cell r="G124">
            <v>80</v>
          </cell>
          <cell r="H124">
            <v>77.2</v>
          </cell>
          <cell r="I124">
            <v>2.8</v>
          </cell>
          <cell r="J124">
            <v>15.4</v>
          </cell>
          <cell r="K124">
            <v>84.5</v>
          </cell>
          <cell r="L124">
            <v>79.400000000000006</v>
          </cell>
          <cell r="M124">
            <v>5.0999999999999996</v>
          </cell>
          <cell r="N124">
            <v>14.4</v>
          </cell>
          <cell r="O124">
            <v>77.8</v>
          </cell>
          <cell r="P124">
            <v>76.099999999999994</v>
          </cell>
          <cell r="Q124">
            <v>1.7</v>
          </cell>
        </row>
        <row r="125">
          <cell r="C125" t="str">
            <v>医療業</v>
          </cell>
          <cell r="F125">
            <v>18.899999999999999</v>
          </cell>
          <cell r="G125">
            <v>139.80000000000001</v>
          </cell>
          <cell r="H125">
            <v>135.1</v>
          </cell>
          <cell r="I125">
            <v>4.7</v>
          </cell>
          <cell r="J125">
            <v>20.100000000000001</v>
          </cell>
          <cell r="K125">
            <v>153.4</v>
          </cell>
          <cell r="L125">
            <v>146.69999999999999</v>
          </cell>
          <cell r="M125">
            <v>6.7</v>
          </cell>
          <cell r="N125">
            <v>18.600000000000001</v>
          </cell>
          <cell r="O125">
            <v>136.19999999999999</v>
          </cell>
          <cell r="P125">
            <v>132.1</v>
          </cell>
          <cell r="Q125">
            <v>4.0999999999999996</v>
          </cell>
        </row>
        <row r="126">
          <cell r="C126" t="str">
            <v>Ｐ一括分</v>
          </cell>
          <cell r="F126">
            <v>18.5</v>
          </cell>
          <cell r="G126">
            <v>130.4</v>
          </cell>
          <cell r="H126">
            <v>127.2</v>
          </cell>
          <cell r="I126">
            <v>3.2</v>
          </cell>
          <cell r="J126">
            <v>19.3</v>
          </cell>
          <cell r="K126">
            <v>132.4</v>
          </cell>
          <cell r="L126">
            <v>128</v>
          </cell>
          <cell r="M126">
            <v>4.4000000000000004</v>
          </cell>
          <cell r="N126">
            <v>18.2</v>
          </cell>
          <cell r="O126">
            <v>129.69999999999999</v>
          </cell>
          <cell r="P126">
            <v>126.9</v>
          </cell>
          <cell r="Q126">
            <v>2.8</v>
          </cell>
        </row>
        <row r="127">
          <cell r="C127" t="str">
            <v>職業紹介・派遣業</v>
          </cell>
          <cell r="F127">
            <v>19.8</v>
          </cell>
          <cell r="G127">
            <v>164.9</v>
          </cell>
          <cell r="H127">
            <v>155.30000000000001</v>
          </cell>
          <cell r="I127">
            <v>9.6</v>
          </cell>
          <cell r="J127">
            <v>20.399999999999999</v>
          </cell>
          <cell r="K127">
            <v>180.5</v>
          </cell>
          <cell r="L127">
            <v>166.2</v>
          </cell>
          <cell r="M127">
            <v>14.3</v>
          </cell>
          <cell r="N127">
            <v>19.3</v>
          </cell>
          <cell r="O127">
            <v>150.69999999999999</v>
          </cell>
          <cell r="P127">
            <v>145.4</v>
          </cell>
          <cell r="Q127">
            <v>5.3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19</v>
          </cell>
          <cell r="G129">
            <v>141.6</v>
          </cell>
          <cell r="H129">
            <v>132.69999999999999</v>
          </cell>
          <cell r="I129">
            <v>8.9</v>
          </cell>
          <cell r="J129">
            <v>19.7</v>
          </cell>
          <cell r="K129">
            <v>158.6</v>
          </cell>
          <cell r="L129">
            <v>145.9</v>
          </cell>
          <cell r="M129">
            <v>12.7</v>
          </cell>
          <cell r="N129">
            <v>18.3</v>
          </cell>
          <cell r="O129">
            <v>124.6</v>
          </cell>
          <cell r="P129">
            <v>119.5</v>
          </cell>
          <cell r="Q129">
            <v>5.0999999999999996</v>
          </cell>
        </row>
        <row r="130">
          <cell r="C130" t="str">
            <v>特掲産業１</v>
          </cell>
          <cell r="F130">
            <v>16.2</v>
          </cell>
          <cell r="G130">
            <v>112.1</v>
          </cell>
          <cell r="H130">
            <v>108.3</v>
          </cell>
          <cell r="I130">
            <v>3.8</v>
          </cell>
          <cell r="J130">
            <v>15.1</v>
          </cell>
          <cell r="K130">
            <v>105.1</v>
          </cell>
          <cell r="L130">
            <v>100.8</v>
          </cell>
          <cell r="M130">
            <v>4.3</v>
          </cell>
          <cell r="N130">
            <v>18</v>
          </cell>
          <cell r="O130">
            <v>124</v>
          </cell>
          <cell r="P130">
            <v>121</v>
          </cell>
          <cell r="Q130">
            <v>3</v>
          </cell>
        </row>
        <row r="131">
          <cell r="C131" t="str">
            <v>特掲産業２</v>
          </cell>
          <cell r="F131">
            <v>21.9</v>
          </cell>
          <cell r="G131">
            <v>150.80000000000001</v>
          </cell>
          <cell r="H131">
            <v>148.6</v>
          </cell>
          <cell r="I131">
            <v>2.2000000000000002</v>
          </cell>
          <cell r="J131">
            <v>21.3</v>
          </cell>
          <cell r="K131">
            <v>143.5</v>
          </cell>
          <cell r="L131">
            <v>140.30000000000001</v>
          </cell>
          <cell r="M131">
            <v>3.2</v>
          </cell>
          <cell r="N131">
            <v>22.8</v>
          </cell>
          <cell r="O131">
            <v>161.5</v>
          </cell>
          <cell r="P131">
            <v>160.9</v>
          </cell>
          <cell r="Q131">
            <v>0.6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-0.1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>
        <row r="9">
          <cell r="E9">
            <v>232047</v>
          </cell>
        </row>
      </sheetData>
      <sheetData sheetId="17">
        <row r="9">
          <cell r="E9">
            <v>18.7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4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  <row r="39">
          <cell r="D39" t="str">
            <v>食料品・たばこ</v>
          </cell>
          <cell r="H39"/>
          <cell r="I39"/>
        </row>
        <row r="40">
          <cell r="D40" t="str">
            <v>繊維工業</v>
          </cell>
          <cell r="H40"/>
          <cell r="I40"/>
        </row>
        <row r="41">
          <cell r="D41" t="str">
            <v>木材・木製品</v>
          </cell>
          <cell r="H41"/>
          <cell r="I41"/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H43"/>
          <cell r="I43"/>
        </row>
        <row r="44">
          <cell r="D44" t="str">
            <v>化学、石油・石炭</v>
          </cell>
          <cell r="H44"/>
          <cell r="I44"/>
        </row>
        <row r="45">
          <cell r="D45" t="str">
            <v>プラスチック製品</v>
          </cell>
          <cell r="H45"/>
          <cell r="I45"/>
        </row>
        <row r="46">
          <cell r="D46" t="str">
            <v>ゴム製品</v>
          </cell>
          <cell r="H46"/>
          <cell r="I46"/>
        </row>
        <row r="47">
          <cell r="D47" t="str">
            <v>窯業・土石製品</v>
          </cell>
          <cell r="H47"/>
          <cell r="I47"/>
        </row>
        <row r="48">
          <cell r="D48" t="str">
            <v>金属製品製造業</v>
          </cell>
          <cell r="H48"/>
          <cell r="I48"/>
        </row>
        <row r="49">
          <cell r="D49" t="str">
            <v>業務用機械器具</v>
          </cell>
          <cell r="H49"/>
          <cell r="I49"/>
        </row>
        <row r="50">
          <cell r="D50" t="str">
            <v>電子・デバイス</v>
          </cell>
          <cell r="H50"/>
          <cell r="I50"/>
        </row>
        <row r="51">
          <cell r="D51" t="str">
            <v>電気機械器具</v>
          </cell>
          <cell r="H51"/>
          <cell r="I51"/>
        </row>
        <row r="52">
          <cell r="D52" t="str">
            <v>輸送用機械器具</v>
          </cell>
          <cell r="H52"/>
          <cell r="I52"/>
        </row>
        <row r="53">
          <cell r="D53" t="str">
            <v>Ｅ一括分１</v>
          </cell>
          <cell r="H53"/>
          <cell r="I53"/>
        </row>
        <row r="54">
          <cell r="D54" t="str">
            <v>職業紹介・派遣業</v>
          </cell>
          <cell r="H54"/>
          <cell r="I54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9731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18.899999999999999</v>
          </cell>
          <cell r="G10">
            <v>149.19999999999999</v>
          </cell>
          <cell r="H10">
            <v>137.4</v>
          </cell>
          <cell r="I10">
            <v>11.8</v>
          </cell>
          <cell r="J10">
            <v>19.7</v>
          </cell>
          <cell r="K10">
            <v>163.69999999999999</v>
          </cell>
          <cell r="L10">
            <v>147.1</v>
          </cell>
          <cell r="M10">
            <v>16.600000000000001</v>
          </cell>
          <cell r="N10">
            <v>18.2</v>
          </cell>
          <cell r="O10">
            <v>135</v>
          </cell>
          <cell r="P10">
            <v>127.9</v>
          </cell>
          <cell r="Q10">
            <v>7.1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21.1</v>
          </cell>
          <cell r="G12">
            <v>168</v>
          </cell>
          <cell r="H12">
            <v>157.1</v>
          </cell>
          <cell r="I12">
            <v>10.9</v>
          </cell>
          <cell r="J12">
            <v>21.6</v>
          </cell>
          <cell r="K12">
            <v>172.7</v>
          </cell>
          <cell r="L12">
            <v>160.4</v>
          </cell>
          <cell r="M12">
            <v>12.3</v>
          </cell>
          <cell r="N12">
            <v>19.399999999999999</v>
          </cell>
          <cell r="O12">
            <v>148.30000000000001</v>
          </cell>
          <cell r="P12">
            <v>143.19999999999999</v>
          </cell>
          <cell r="Q12">
            <v>5.0999999999999996</v>
          </cell>
        </row>
        <row r="13">
          <cell r="C13" t="str">
            <v>製造業</v>
          </cell>
          <cell r="F13">
            <v>20</v>
          </cell>
          <cell r="G13">
            <v>165.5</v>
          </cell>
          <cell r="H13">
            <v>151.30000000000001</v>
          </cell>
          <cell r="I13">
            <v>14.2</v>
          </cell>
          <cell r="J13">
            <v>20.2</v>
          </cell>
          <cell r="K13">
            <v>172.3</v>
          </cell>
          <cell r="L13">
            <v>154.80000000000001</v>
          </cell>
          <cell r="M13">
            <v>17.5</v>
          </cell>
          <cell r="N13">
            <v>19.5</v>
          </cell>
          <cell r="O13">
            <v>153.19999999999999</v>
          </cell>
          <cell r="P13">
            <v>145</v>
          </cell>
          <cell r="Q13">
            <v>8.1999999999999993</v>
          </cell>
        </row>
        <row r="14">
          <cell r="C14" t="str">
            <v>電気・ガス・熱供給・水道業</v>
          </cell>
          <cell r="F14">
            <v>19.7</v>
          </cell>
          <cell r="G14">
            <v>163.30000000000001</v>
          </cell>
          <cell r="H14">
            <v>143.80000000000001</v>
          </cell>
          <cell r="I14">
            <v>19.5</v>
          </cell>
          <cell r="J14">
            <v>19.8</v>
          </cell>
          <cell r="K14">
            <v>166.5</v>
          </cell>
          <cell r="L14">
            <v>145.69999999999999</v>
          </cell>
          <cell r="M14">
            <v>20.8</v>
          </cell>
          <cell r="N14">
            <v>19.399999999999999</v>
          </cell>
          <cell r="O14">
            <v>143.30000000000001</v>
          </cell>
          <cell r="P14">
            <v>132</v>
          </cell>
          <cell r="Q14">
            <v>11.3</v>
          </cell>
        </row>
        <row r="15">
          <cell r="C15" t="str">
            <v>情報通信業</v>
          </cell>
          <cell r="F15">
            <v>19.5</v>
          </cell>
          <cell r="G15">
            <v>160.4</v>
          </cell>
          <cell r="H15">
            <v>146.9</v>
          </cell>
          <cell r="I15">
            <v>13.5</v>
          </cell>
          <cell r="J15">
            <v>19.5</v>
          </cell>
          <cell r="K15">
            <v>162.30000000000001</v>
          </cell>
          <cell r="L15">
            <v>148.30000000000001</v>
          </cell>
          <cell r="M15">
            <v>14</v>
          </cell>
          <cell r="N15">
            <v>19.3</v>
          </cell>
          <cell r="O15">
            <v>156</v>
          </cell>
          <cell r="P15">
            <v>143.5</v>
          </cell>
          <cell r="Q15">
            <v>12.5</v>
          </cell>
        </row>
        <row r="16">
          <cell r="C16" t="str">
            <v>運輸業，郵便業</v>
          </cell>
          <cell r="F16">
            <v>19.7</v>
          </cell>
          <cell r="G16">
            <v>167.1</v>
          </cell>
          <cell r="H16">
            <v>143.6</v>
          </cell>
          <cell r="I16">
            <v>23.5</v>
          </cell>
          <cell r="J16">
            <v>20</v>
          </cell>
          <cell r="K16">
            <v>171.7</v>
          </cell>
          <cell r="L16">
            <v>145.5</v>
          </cell>
          <cell r="M16">
            <v>26.2</v>
          </cell>
          <cell r="N16">
            <v>18.3</v>
          </cell>
          <cell r="O16">
            <v>143</v>
          </cell>
          <cell r="P16">
            <v>133.80000000000001</v>
          </cell>
          <cell r="Q16">
            <v>9.1999999999999993</v>
          </cell>
        </row>
        <row r="17">
          <cell r="C17" t="str">
            <v>卸売業，小売業</v>
          </cell>
          <cell r="F17">
            <v>18.7</v>
          </cell>
          <cell r="G17">
            <v>132.5</v>
          </cell>
          <cell r="H17">
            <v>124</v>
          </cell>
          <cell r="I17">
            <v>8.5</v>
          </cell>
          <cell r="J17">
            <v>19.899999999999999</v>
          </cell>
          <cell r="K17">
            <v>157</v>
          </cell>
          <cell r="L17">
            <v>142.5</v>
          </cell>
          <cell r="M17">
            <v>14.5</v>
          </cell>
          <cell r="N17">
            <v>17.899999999999999</v>
          </cell>
          <cell r="O17">
            <v>116.1</v>
          </cell>
          <cell r="P17">
            <v>111.6</v>
          </cell>
          <cell r="Q17">
            <v>4.5</v>
          </cell>
        </row>
        <row r="18">
          <cell r="C18" t="str">
            <v>金融業，保険業</v>
          </cell>
          <cell r="F18" t="str">
            <v>#19</v>
          </cell>
          <cell r="G18" t="str">
            <v>#142.2</v>
          </cell>
          <cell r="H18" t="str">
            <v>#138.8</v>
          </cell>
          <cell r="I18" t="str">
            <v>#3.4</v>
          </cell>
          <cell r="J18" t="str">
            <v>#18.9</v>
          </cell>
          <cell r="K18" t="str">
            <v>#141.3</v>
          </cell>
          <cell r="L18" t="str">
            <v>#138</v>
          </cell>
          <cell r="M18" t="str">
            <v>#3.3</v>
          </cell>
          <cell r="N18" t="str">
            <v>#19.4</v>
          </cell>
          <cell r="O18" t="str">
            <v>#146.8</v>
          </cell>
          <cell r="P18" t="str">
            <v>#142.6</v>
          </cell>
          <cell r="Q18" t="str">
            <v>#4.2</v>
          </cell>
        </row>
        <row r="19">
          <cell r="C19" t="str">
            <v>不動産業，物品賃貸業</v>
          </cell>
          <cell r="F19">
            <v>21</v>
          </cell>
          <cell r="G19">
            <v>160.69999999999999</v>
          </cell>
          <cell r="H19">
            <v>154.4</v>
          </cell>
          <cell r="I19">
            <v>6.3</v>
          </cell>
          <cell r="J19">
            <v>21.6</v>
          </cell>
          <cell r="K19">
            <v>171.1</v>
          </cell>
          <cell r="L19">
            <v>164</v>
          </cell>
          <cell r="M19">
            <v>7.1</v>
          </cell>
          <cell r="N19">
            <v>20.100000000000001</v>
          </cell>
          <cell r="O19">
            <v>142.4</v>
          </cell>
          <cell r="P19">
            <v>137.4</v>
          </cell>
          <cell r="Q19">
            <v>5</v>
          </cell>
        </row>
        <row r="20">
          <cell r="C20" t="str">
            <v>学術研究，専門・技術サービス業</v>
          </cell>
          <cell r="F20">
            <v>19.600000000000001</v>
          </cell>
          <cell r="G20">
            <v>165.8</v>
          </cell>
          <cell r="H20">
            <v>150.4</v>
          </cell>
          <cell r="I20">
            <v>15.4</v>
          </cell>
          <cell r="J20">
            <v>19.5</v>
          </cell>
          <cell r="K20">
            <v>167.3</v>
          </cell>
          <cell r="L20">
            <v>150.9</v>
          </cell>
          <cell r="M20">
            <v>16.399999999999999</v>
          </cell>
          <cell r="N20">
            <v>19.8</v>
          </cell>
          <cell r="O20">
            <v>159.9</v>
          </cell>
          <cell r="P20">
            <v>148.19999999999999</v>
          </cell>
          <cell r="Q20">
            <v>11.7</v>
          </cell>
        </row>
        <row r="21">
          <cell r="C21" t="str">
            <v>宿泊業，飲食サービス業</v>
          </cell>
          <cell r="F21">
            <v>15.1</v>
          </cell>
          <cell r="G21">
            <v>97.7</v>
          </cell>
          <cell r="H21">
            <v>92.5</v>
          </cell>
          <cell r="I21">
            <v>5.2</v>
          </cell>
          <cell r="J21">
            <v>16</v>
          </cell>
          <cell r="K21">
            <v>111.1</v>
          </cell>
          <cell r="L21">
            <v>102.2</v>
          </cell>
          <cell r="M21">
            <v>8.9</v>
          </cell>
          <cell r="N21">
            <v>14.7</v>
          </cell>
          <cell r="O21">
            <v>90.4</v>
          </cell>
          <cell r="P21">
            <v>87.2</v>
          </cell>
          <cell r="Q21">
            <v>3.2</v>
          </cell>
        </row>
        <row r="22">
          <cell r="C22" t="str">
            <v>生活関連サービス業，娯楽業</v>
          </cell>
          <cell r="F22">
            <v>17</v>
          </cell>
          <cell r="G22">
            <v>141.19999999999999</v>
          </cell>
          <cell r="H22">
            <v>132.4</v>
          </cell>
          <cell r="I22">
            <v>8.8000000000000007</v>
          </cell>
          <cell r="J22">
            <v>17.2</v>
          </cell>
          <cell r="K22">
            <v>145.5</v>
          </cell>
          <cell r="L22">
            <v>134.9</v>
          </cell>
          <cell r="M22">
            <v>10.6</v>
          </cell>
          <cell r="N22">
            <v>16.7</v>
          </cell>
          <cell r="O22">
            <v>133.9</v>
          </cell>
          <cell r="P22">
            <v>128.19999999999999</v>
          </cell>
          <cell r="Q22">
            <v>5.7</v>
          </cell>
        </row>
        <row r="23">
          <cell r="C23" t="str">
            <v>教育，学習支援業</v>
          </cell>
          <cell r="F23">
            <v>18.399999999999999</v>
          </cell>
          <cell r="G23">
            <v>168</v>
          </cell>
          <cell r="H23">
            <v>135.30000000000001</v>
          </cell>
          <cell r="I23">
            <v>32.700000000000003</v>
          </cell>
          <cell r="J23">
            <v>19.3</v>
          </cell>
          <cell r="K23">
            <v>185.6</v>
          </cell>
          <cell r="L23">
            <v>145</v>
          </cell>
          <cell r="M23">
            <v>40.6</v>
          </cell>
          <cell r="N23">
            <v>17.7</v>
          </cell>
          <cell r="O23">
            <v>152.9</v>
          </cell>
          <cell r="P23">
            <v>127</v>
          </cell>
          <cell r="Q23">
            <v>25.9</v>
          </cell>
        </row>
        <row r="24">
          <cell r="C24" t="str">
            <v>医療，福祉</v>
          </cell>
          <cell r="F24">
            <v>18.600000000000001</v>
          </cell>
          <cell r="G24">
            <v>141.80000000000001</v>
          </cell>
          <cell r="H24">
            <v>136.9</v>
          </cell>
          <cell r="I24">
            <v>4.9000000000000004</v>
          </cell>
          <cell r="J24">
            <v>19.600000000000001</v>
          </cell>
          <cell r="K24">
            <v>154.30000000000001</v>
          </cell>
          <cell r="L24">
            <v>147.19999999999999</v>
          </cell>
          <cell r="M24">
            <v>7.1</v>
          </cell>
          <cell r="N24">
            <v>18.2</v>
          </cell>
          <cell r="O24">
            <v>137.4</v>
          </cell>
          <cell r="P24">
            <v>133.30000000000001</v>
          </cell>
          <cell r="Q24">
            <v>4.0999999999999996</v>
          </cell>
        </row>
        <row r="25">
          <cell r="C25" t="str">
            <v>複合サービス事業</v>
          </cell>
          <cell r="F25">
            <v>20.9</v>
          </cell>
          <cell r="G25">
            <v>167.6</v>
          </cell>
          <cell r="H25">
            <v>161.5</v>
          </cell>
          <cell r="I25">
            <v>6.1</v>
          </cell>
          <cell r="J25">
            <v>21</v>
          </cell>
          <cell r="K25">
            <v>170.7</v>
          </cell>
          <cell r="L25">
            <v>165.4</v>
          </cell>
          <cell r="M25">
            <v>5.3</v>
          </cell>
          <cell r="N25">
            <v>20.8</v>
          </cell>
          <cell r="O25">
            <v>162.9</v>
          </cell>
          <cell r="P25">
            <v>155.69999999999999</v>
          </cell>
          <cell r="Q25">
            <v>7.2</v>
          </cell>
        </row>
        <row r="26">
          <cell r="C26" t="str">
            <v>サービス業（他に分類されないもの）</v>
          </cell>
          <cell r="F26">
            <v>18.399999999999999</v>
          </cell>
          <cell r="G26">
            <v>138</v>
          </cell>
          <cell r="H26">
            <v>128.9</v>
          </cell>
          <cell r="I26">
            <v>9.1</v>
          </cell>
          <cell r="J26">
            <v>18.8</v>
          </cell>
          <cell r="K26">
            <v>153.9</v>
          </cell>
          <cell r="L26">
            <v>141</v>
          </cell>
          <cell r="M26">
            <v>12.9</v>
          </cell>
          <cell r="N26">
            <v>17.899999999999999</v>
          </cell>
          <cell r="O26">
            <v>121.1</v>
          </cell>
          <cell r="P26">
            <v>116.1</v>
          </cell>
          <cell r="Q26">
            <v>5</v>
          </cell>
        </row>
        <row r="27">
          <cell r="C27" t="str">
            <v>食料品・たばこ</v>
          </cell>
          <cell r="F27">
            <v>20.2</v>
          </cell>
          <cell r="G27">
            <v>163.1</v>
          </cell>
          <cell r="H27">
            <v>149.80000000000001</v>
          </cell>
          <cell r="I27">
            <v>13.3</v>
          </cell>
          <cell r="J27">
            <v>20.9</v>
          </cell>
          <cell r="K27">
            <v>177.2</v>
          </cell>
          <cell r="L27">
            <v>159.9</v>
          </cell>
          <cell r="M27">
            <v>17.3</v>
          </cell>
          <cell r="N27">
            <v>19.5</v>
          </cell>
          <cell r="O27">
            <v>149.80000000000001</v>
          </cell>
          <cell r="P27">
            <v>140.30000000000001</v>
          </cell>
          <cell r="Q27">
            <v>9.5</v>
          </cell>
        </row>
        <row r="28">
          <cell r="C28" t="str">
            <v>繊維工業</v>
          </cell>
          <cell r="F28">
            <v>20.399999999999999</v>
          </cell>
          <cell r="G28">
            <v>167.1</v>
          </cell>
          <cell r="H28">
            <v>154.80000000000001</v>
          </cell>
          <cell r="I28">
            <v>12.3</v>
          </cell>
          <cell r="J28">
            <v>20.3</v>
          </cell>
          <cell r="K28">
            <v>168.9</v>
          </cell>
          <cell r="L28">
            <v>152.5</v>
          </cell>
          <cell r="M28">
            <v>16.399999999999999</v>
          </cell>
          <cell r="N28">
            <v>20.399999999999999</v>
          </cell>
          <cell r="O28">
            <v>165.7</v>
          </cell>
          <cell r="P28">
            <v>156.4</v>
          </cell>
          <cell r="Q28">
            <v>9.3000000000000007</v>
          </cell>
        </row>
        <row r="29">
          <cell r="C29" t="str">
            <v>木材・木製品</v>
          </cell>
          <cell r="F29">
            <v>19</v>
          </cell>
          <cell r="G29">
            <v>153.19999999999999</v>
          </cell>
          <cell r="H29">
            <v>140.9</v>
          </cell>
          <cell r="I29">
            <v>12.3</v>
          </cell>
          <cell r="J29">
            <v>18.7</v>
          </cell>
          <cell r="K29">
            <v>156.9</v>
          </cell>
          <cell r="L29">
            <v>142.6</v>
          </cell>
          <cell r="M29">
            <v>14.3</v>
          </cell>
          <cell r="N29">
            <v>20.2</v>
          </cell>
          <cell r="O29">
            <v>136.6</v>
          </cell>
          <cell r="P29">
            <v>133.4</v>
          </cell>
          <cell r="Q29">
            <v>3.2</v>
          </cell>
        </row>
        <row r="30">
          <cell r="C30" t="str">
            <v>家具・装備品</v>
          </cell>
          <cell r="F30" t="str">
            <v>#21.5</v>
          </cell>
          <cell r="G30" t="str">
            <v>#161.2</v>
          </cell>
          <cell r="H30" t="str">
            <v>#161.2</v>
          </cell>
          <cell r="I30" t="str">
            <v>#0</v>
          </cell>
          <cell r="J30" t="str">
            <v>#21.4</v>
          </cell>
          <cell r="K30" t="str">
            <v>#165.2</v>
          </cell>
          <cell r="L30" t="str">
            <v>#165.2</v>
          </cell>
          <cell r="M30" t="str">
            <v>#0</v>
          </cell>
          <cell r="N30" t="str">
            <v>#21.9</v>
          </cell>
          <cell r="O30" t="str">
            <v>#151.4</v>
          </cell>
          <cell r="P30" t="str">
            <v>#151.4</v>
          </cell>
          <cell r="Q30" t="str">
            <v>#0</v>
          </cell>
        </row>
        <row r="31">
          <cell r="C31" t="str">
            <v>パルプ・紙</v>
          </cell>
          <cell r="F31" t="str">
            <v>#21.9</v>
          </cell>
          <cell r="G31" t="str">
            <v>#178.5</v>
          </cell>
          <cell r="H31" t="str">
            <v>#163.3</v>
          </cell>
          <cell r="I31" t="str">
            <v>#15.2</v>
          </cell>
          <cell r="J31" t="str">
            <v>#22.3</v>
          </cell>
          <cell r="K31" t="str">
            <v>#185.5</v>
          </cell>
          <cell r="L31" t="str">
            <v>#166.1</v>
          </cell>
          <cell r="M31" t="str">
            <v>#19.4</v>
          </cell>
          <cell r="N31" t="str">
            <v>#20.4</v>
          </cell>
          <cell r="O31" t="str">
            <v>#156.9</v>
          </cell>
          <cell r="P31" t="str">
            <v>#154.7</v>
          </cell>
          <cell r="Q31" t="str">
            <v>#2.2</v>
          </cell>
        </row>
        <row r="32">
          <cell r="C32" t="str">
            <v>印刷・同関連業</v>
          </cell>
          <cell r="F32">
            <v>18.899999999999999</v>
          </cell>
          <cell r="G32">
            <v>148.6</v>
          </cell>
          <cell r="H32">
            <v>139.69999999999999</v>
          </cell>
          <cell r="I32">
            <v>8.9</v>
          </cell>
          <cell r="J32">
            <v>18.600000000000001</v>
          </cell>
          <cell r="K32">
            <v>147.6</v>
          </cell>
          <cell r="L32">
            <v>136.80000000000001</v>
          </cell>
          <cell r="M32">
            <v>10.8</v>
          </cell>
          <cell r="N32">
            <v>19.8</v>
          </cell>
          <cell r="O32">
            <v>151.1</v>
          </cell>
          <cell r="P32">
            <v>147.19999999999999</v>
          </cell>
          <cell r="Q32">
            <v>3.9</v>
          </cell>
        </row>
        <row r="33">
          <cell r="C33" t="str">
            <v>化学、石油・石炭</v>
          </cell>
          <cell r="F33">
            <v>19.5</v>
          </cell>
          <cell r="G33">
            <v>159</v>
          </cell>
          <cell r="H33">
            <v>142.5</v>
          </cell>
          <cell r="I33">
            <v>16.5</v>
          </cell>
          <cell r="J33">
            <v>19.5</v>
          </cell>
          <cell r="K33">
            <v>159.80000000000001</v>
          </cell>
          <cell r="L33">
            <v>142.5</v>
          </cell>
          <cell r="M33">
            <v>17.3</v>
          </cell>
          <cell r="N33">
            <v>19.3</v>
          </cell>
          <cell r="O33">
            <v>149</v>
          </cell>
          <cell r="P33">
            <v>143</v>
          </cell>
          <cell r="Q33">
            <v>6</v>
          </cell>
        </row>
        <row r="34">
          <cell r="C34" t="str">
            <v>プラスチック製品</v>
          </cell>
          <cell r="F34">
            <v>20.6</v>
          </cell>
          <cell r="G34">
            <v>165.2</v>
          </cell>
          <cell r="H34">
            <v>151.9</v>
          </cell>
          <cell r="I34">
            <v>13.3</v>
          </cell>
          <cell r="J34">
            <v>20.9</v>
          </cell>
          <cell r="K34">
            <v>174.6</v>
          </cell>
          <cell r="L34">
            <v>157.4</v>
          </cell>
          <cell r="M34">
            <v>17.2</v>
          </cell>
          <cell r="N34">
            <v>19.899999999999999</v>
          </cell>
          <cell r="O34">
            <v>136.69999999999999</v>
          </cell>
          <cell r="P34">
            <v>135.19999999999999</v>
          </cell>
          <cell r="Q34">
            <v>1.5</v>
          </cell>
        </row>
        <row r="35">
          <cell r="C35" t="str">
            <v>ゴム製品</v>
          </cell>
          <cell r="F35">
            <v>20.6</v>
          </cell>
          <cell r="G35">
            <v>172.6</v>
          </cell>
          <cell r="H35">
            <v>151.80000000000001</v>
          </cell>
          <cell r="I35">
            <v>20.8</v>
          </cell>
          <cell r="J35">
            <v>20.7</v>
          </cell>
          <cell r="K35">
            <v>174.3</v>
          </cell>
          <cell r="L35">
            <v>151.69999999999999</v>
          </cell>
          <cell r="M35">
            <v>22.6</v>
          </cell>
          <cell r="N35">
            <v>19.899999999999999</v>
          </cell>
          <cell r="O35">
            <v>160.80000000000001</v>
          </cell>
          <cell r="P35">
            <v>152.4</v>
          </cell>
          <cell r="Q35">
            <v>8.4</v>
          </cell>
        </row>
        <row r="36">
          <cell r="C36" t="str">
            <v>窯業・土石製品</v>
          </cell>
          <cell r="F36">
            <v>19.7</v>
          </cell>
          <cell r="G36">
            <v>153.5</v>
          </cell>
          <cell r="H36">
            <v>147.19999999999999</v>
          </cell>
          <cell r="I36">
            <v>6.3</v>
          </cell>
          <cell r="J36">
            <v>19.899999999999999</v>
          </cell>
          <cell r="K36">
            <v>160.19999999999999</v>
          </cell>
          <cell r="L36">
            <v>152.5</v>
          </cell>
          <cell r="M36">
            <v>7.7</v>
          </cell>
          <cell r="N36">
            <v>18.899999999999999</v>
          </cell>
          <cell r="O36">
            <v>131.19999999999999</v>
          </cell>
          <cell r="P36">
            <v>129.69999999999999</v>
          </cell>
          <cell r="Q36">
            <v>1.5</v>
          </cell>
        </row>
        <row r="37">
          <cell r="C37" t="str">
            <v>鉄鋼業</v>
          </cell>
          <cell r="F37" t="str">
            <v>#19</v>
          </cell>
          <cell r="G37" t="str">
            <v>#174.2</v>
          </cell>
          <cell r="H37" t="str">
            <v>#149</v>
          </cell>
          <cell r="I37" t="str">
            <v>#25.2</v>
          </cell>
          <cell r="J37" t="str">
            <v>#19.1</v>
          </cell>
          <cell r="K37" t="str">
            <v>#175.4</v>
          </cell>
          <cell r="L37" t="str">
            <v>#150</v>
          </cell>
          <cell r="M37" t="str">
            <v>#25.4</v>
          </cell>
          <cell r="N37" t="str">
            <v>#17.1</v>
          </cell>
          <cell r="O37" t="str">
            <v>#156.7</v>
          </cell>
          <cell r="P37" t="str">
            <v>#134.9</v>
          </cell>
          <cell r="Q37" t="str">
            <v>#21.8</v>
          </cell>
        </row>
        <row r="38">
          <cell r="C38" t="str">
            <v>非鉄金属製造業</v>
          </cell>
          <cell r="F38" t="str">
            <v>#17.8</v>
          </cell>
          <cell r="G38" t="str">
            <v>#141.6</v>
          </cell>
          <cell r="H38" t="str">
            <v>#139.8</v>
          </cell>
          <cell r="I38" t="str">
            <v>#1.8</v>
          </cell>
          <cell r="J38" t="str">
            <v>#18.5</v>
          </cell>
          <cell r="K38" t="str">
            <v>#150.4</v>
          </cell>
          <cell r="L38" t="str">
            <v>#148.1</v>
          </cell>
          <cell r="M38" t="str">
            <v>#2.3</v>
          </cell>
          <cell r="N38" t="str">
            <v>#17</v>
          </cell>
          <cell r="O38" t="str">
            <v>#133.2</v>
          </cell>
          <cell r="P38" t="str">
            <v>#131.8</v>
          </cell>
          <cell r="Q38" t="str">
            <v>#1.4</v>
          </cell>
        </row>
        <row r="39">
          <cell r="C39" t="str">
            <v>金属製品製造業</v>
          </cell>
          <cell r="F39">
            <v>22</v>
          </cell>
          <cell r="G39">
            <v>183.7</v>
          </cell>
          <cell r="H39">
            <v>167.5</v>
          </cell>
          <cell r="I39">
            <v>16.2</v>
          </cell>
          <cell r="J39">
            <v>21.7</v>
          </cell>
          <cell r="K39">
            <v>183.3</v>
          </cell>
          <cell r="L39">
            <v>165.6</v>
          </cell>
          <cell r="M39">
            <v>17.7</v>
          </cell>
          <cell r="N39">
            <v>23.6</v>
          </cell>
          <cell r="O39">
            <v>185.9</v>
          </cell>
          <cell r="P39">
            <v>177.1</v>
          </cell>
          <cell r="Q39">
            <v>8.8000000000000007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19.899999999999999</v>
          </cell>
          <cell r="G42">
            <v>164.9</v>
          </cell>
          <cell r="H42">
            <v>156.1</v>
          </cell>
          <cell r="I42">
            <v>8.8000000000000007</v>
          </cell>
          <cell r="J42">
            <v>20.5</v>
          </cell>
          <cell r="K42">
            <v>171.5</v>
          </cell>
          <cell r="L42">
            <v>160</v>
          </cell>
          <cell r="M42">
            <v>11.5</v>
          </cell>
          <cell r="N42">
            <v>19.3</v>
          </cell>
          <cell r="O42">
            <v>158.9</v>
          </cell>
          <cell r="P42">
            <v>152.5</v>
          </cell>
          <cell r="Q42">
            <v>6.4</v>
          </cell>
        </row>
        <row r="43">
          <cell r="C43" t="str">
            <v>電子・デバイス</v>
          </cell>
          <cell r="F43">
            <v>18.399999999999999</v>
          </cell>
          <cell r="G43">
            <v>158</v>
          </cell>
          <cell r="H43">
            <v>146.19999999999999</v>
          </cell>
          <cell r="I43">
            <v>11.8</v>
          </cell>
          <cell r="J43">
            <v>18.600000000000001</v>
          </cell>
          <cell r="K43">
            <v>165.2</v>
          </cell>
          <cell r="L43">
            <v>150.1</v>
          </cell>
          <cell r="M43">
            <v>15.1</v>
          </cell>
          <cell r="N43">
            <v>18</v>
          </cell>
          <cell r="O43">
            <v>144.1</v>
          </cell>
          <cell r="P43">
            <v>138.6</v>
          </cell>
          <cell r="Q43">
            <v>5.5</v>
          </cell>
        </row>
        <row r="44">
          <cell r="C44" t="str">
            <v>電気機械器具</v>
          </cell>
          <cell r="F44">
            <v>21.2</v>
          </cell>
          <cell r="G44">
            <v>172.3</v>
          </cell>
          <cell r="H44">
            <v>162.6</v>
          </cell>
          <cell r="I44">
            <v>9.6999999999999993</v>
          </cell>
          <cell r="J44">
            <v>21.7</v>
          </cell>
          <cell r="K44">
            <v>180.1</v>
          </cell>
          <cell r="L44">
            <v>167.1</v>
          </cell>
          <cell r="M44">
            <v>13</v>
          </cell>
          <cell r="N44">
            <v>20.2</v>
          </cell>
          <cell r="O44">
            <v>156.19999999999999</v>
          </cell>
          <cell r="P44">
            <v>153.30000000000001</v>
          </cell>
          <cell r="Q44">
            <v>2.9</v>
          </cell>
        </row>
        <row r="45">
          <cell r="C45" t="str">
            <v>情報通信機械器具</v>
          </cell>
          <cell r="F45" t="str">
            <v>#17.6</v>
          </cell>
          <cell r="G45" t="str">
            <v>#151.9</v>
          </cell>
          <cell r="H45" t="str">
            <v>#139</v>
          </cell>
          <cell r="I45" t="str">
            <v>#12.9</v>
          </cell>
          <cell r="J45" t="str">
            <v>#17.7</v>
          </cell>
          <cell r="K45" t="str">
            <v>#156.1</v>
          </cell>
          <cell r="L45" t="str">
            <v>#139.7</v>
          </cell>
          <cell r="M45" t="str">
            <v>#16.4</v>
          </cell>
          <cell r="N45" t="str">
            <v>#17.5</v>
          </cell>
          <cell r="O45" t="str">
            <v>#146.6</v>
          </cell>
          <cell r="P45" t="str">
            <v>#138.2</v>
          </cell>
          <cell r="Q45" t="str">
            <v>#8.4</v>
          </cell>
        </row>
        <row r="46">
          <cell r="C46" t="str">
            <v>輸送用機械器具</v>
          </cell>
          <cell r="F46">
            <v>18.600000000000001</v>
          </cell>
          <cell r="G46">
            <v>173.9</v>
          </cell>
          <cell r="H46">
            <v>150.5</v>
          </cell>
          <cell r="I46">
            <v>23.4</v>
          </cell>
          <cell r="J46">
            <v>18.7</v>
          </cell>
          <cell r="K46">
            <v>177.8</v>
          </cell>
          <cell r="L46">
            <v>152.4</v>
          </cell>
          <cell r="M46">
            <v>25.4</v>
          </cell>
          <cell r="N46">
            <v>18.3</v>
          </cell>
          <cell r="O46">
            <v>157.30000000000001</v>
          </cell>
          <cell r="P46">
            <v>142.4</v>
          </cell>
          <cell r="Q46">
            <v>14.9</v>
          </cell>
        </row>
        <row r="47">
          <cell r="C47" t="str">
            <v>その他の製造業</v>
          </cell>
          <cell r="F47">
            <v>21.1</v>
          </cell>
          <cell r="G47">
            <v>182</v>
          </cell>
          <cell r="H47">
            <v>155.1</v>
          </cell>
          <cell r="I47">
            <v>26.9</v>
          </cell>
          <cell r="J47">
            <v>21.9</v>
          </cell>
          <cell r="K47">
            <v>195.6</v>
          </cell>
          <cell r="L47">
            <v>161.9</v>
          </cell>
          <cell r="M47">
            <v>33.700000000000003</v>
          </cell>
          <cell r="N47">
            <v>18.100000000000001</v>
          </cell>
          <cell r="O47">
            <v>133.1</v>
          </cell>
          <cell r="P47">
            <v>130.4</v>
          </cell>
          <cell r="Q47">
            <v>2.7</v>
          </cell>
        </row>
        <row r="48">
          <cell r="C48" t="str">
            <v>Ｅ一括分１</v>
          </cell>
          <cell r="F48">
            <v>20.100000000000001</v>
          </cell>
          <cell r="G48">
            <v>177</v>
          </cell>
          <cell r="H48">
            <v>162.1</v>
          </cell>
          <cell r="I48">
            <v>14.9</v>
          </cell>
          <cell r="J48">
            <v>20.3</v>
          </cell>
          <cell r="K48">
            <v>177.7</v>
          </cell>
          <cell r="L48">
            <v>162.5</v>
          </cell>
          <cell r="M48">
            <v>15.2</v>
          </cell>
          <cell r="N48">
            <v>19.7</v>
          </cell>
          <cell r="O48">
            <v>174.6</v>
          </cell>
          <cell r="P48">
            <v>160.69999999999999</v>
          </cell>
          <cell r="Q48">
            <v>13.9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21.6</v>
          </cell>
          <cell r="G51">
            <v>177.1</v>
          </cell>
          <cell r="H51">
            <v>164.1</v>
          </cell>
          <cell r="I51">
            <v>13</v>
          </cell>
          <cell r="J51">
            <v>21.6</v>
          </cell>
          <cell r="K51">
            <v>181.2</v>
          </cell>
          <cell r="L51">
            <v>164.6</v>
          </cell>
          <cell r="M51">
            <v>16.600000000000001</v>
          </cell>
          <cell r="N51">
            <v>21.7</v>
          </cell>
          <cell r="O51">
            <v>167.6</v>
          </cell>
          <cell r="P51">
            <v>162.69999999999999</v>
          </cell>
          <cell r="Q51">
            <v>4.9000000000000004</v>
          </cell>
        </row>
        <row r="52">
          <cell r="C52" t="str">
            <v>小売業</v>
          </cell>
          <cell r="F52">
            <v>17.899999999999999</v>
          </cell>
          <cell r="G52">
            <v>119.7</v>
          </cell>
          <cell r="H52">
            <v>112.5</v>
          </cell>
          <cell r="I52">
            <v>7.2</v>
          </cell>
          <cell r="J52">
            <v>18.899999999999999</v>
          </cell>
          <cell r="K52">
            <v>141.9</v>
          </cell>
          <cell r="L52">
            <v>128.6</v>
          </cell>
          <cell r="M52">
            <v>13.3</v>
          </cell>
          <cell r="N52">
            <v>17.399999999999999</v>
          </cell>
          <cell r="O52">
            <v>109.4</v>
          </cell>
          <cell r="P52">
            <v>105</v>
          </cell>
          <cell r="Q52">
            <v>4.4000000000000004</v>
          </cell>
        </row>
        <row r="53">
          <cell r="C53" t="str">
            <v>宿泊業</v>
          </cell>
          <cell r="F53">
            <v>19.5</v>
          </cell>
          <cell r="G53">
            <v>133.4</v>
          </cell>
          <cell r="H53">
            <v>124.9</v>
          </cell>
          <cell r="I53">
            <v>8.5</v>
          </cell>
          <cell r="J53">
            <v>19.8</v>
          </cell>
          <cell r="K53">
            <v>147.4</v>
          </cell>
          <cell r="L53">
            <v>134.1</v>
          </cell>
          <cell r="M53">
            <v>13.3</v>
          </cell>
          <cell r="N53">
            <v>19.2</v>
          </cell>
          <cell r="O53">
            <v>123.4</v>
          </cell>
          <cell r="P53">
            <v>118.3</v>
          </cell>
          <cell r="Q53">
            <v>5.0999999999999996</v>
          </cell>
        </row>
        <row r="54">
          <cell r="C54" t="str">
            <v>Ｍ一括分</v>
          </cell>
          <cell r="F54">
            <v>12.8</v>
          </cell>
          <cell r="G54">
            <v>78.3</v>
          </cell>
          <cell r="H54">
            <v>74.8</v>
          </cell>
          <cell r="I54">
            <v>3.5</v>
          </cell>
          <cell r="J54">
            <v>13.4</v>
          </cell>
          <cell r="K54">
            <v>85.5</v>
          </cell>
          <cell r="L54">
            <v>79.7</v>
          </cell>
          <cell r="M54">
            <v>5.8</v>
          </cell>
          <cell r="N54">
            <v>12.5</v>
          </cell>
          <cell r="O54">
            <v>74.900000000000006</v>
          </cell>
          <cell r="P54">
            <v>72.5</v>
          </cell>
          <cell r="Q54">
            <v>2.4</v>
          </cell>
        </row>
        <row r="55">
          <cell r="C55" t="str">
            <v>医療業</v>
          </cell>
          <cell r="F55">
            <v>19.2</v>
          </cell>
          <cell r="G55">
            <v>146.30000000000001</v>
          </cell>
          <cell r="H55">
            <v>141.30000000000001</v>
          </cell>
          <cell r="I55">
            <v>5</v>
          </cell>
          <cell r="J55">
            <v>19.7</v>
          </cell>
          <cell r="K55">
            <v>157.9</v>
          </cell>
          <cell r="L55">
            <v>151</v>
          </cell>
          <cell r="M55">
            <v>6.9</v>
          </cell>
          <cell r="N55">
            <v>19.100000000000001</v>
          </cell>
          <cell r="O55">
            <v>142.5</v>
          </cell>
          <cell r="P55">
            <v>138.1</v>
          </cell>
          <cell r="Q55">
            <v>4.4000000000000004</v>
          </cell>
        </row>
        <row r="56">
          <cell r="C56" t="str">
            <v>Ｐ一括分</v>
          </cell>
          <cell r="F56">
            <v>17.8</v>
          </cell>
          <cell r="G56">
            <v>135.80000000000001</v>
          </cell>
          <cell r="H56">
            <v>131.1</v>
          </cell>
          <cell r="I56">
            <v>4.7</v>
          </cell>
          <cell r="J56">
            <v>19.5</v>
          </cell>
          <cell r="K56">
            <v>150.1</v>
          </cell>
          <cell r="L56">
            <v>142.80000000000001</v>
          </cell>
          <cell r="M56">
            <v>7.3</v>
          </cell>
          <cell r="N56">
            <v>17.100000000000001</v>
          </cell>
          <cell r="O56">
            <v>130.5</v>
          </cell>
          <cell r="P56">
            <v>126.8</v>
          </cell>
          <cell r="Q56">
            <v>3.7</v>
          </cell>
        </row>
        <row r="57">
          <cell r="C57" t="str">
            <v>職業紹介・派遣業</v>
          </cell>
          <cell r="F57">
            <v>18.399999999999999</v>
          </cell>
          <cell r="G57">
            <v>150.1</v>
          </cell>
          <cell r="H57">
            <v>142.1</v>
          </cell>
          <cell r="I57">
            <v>8</v>
          </cell>
          <cell r="J57">
            <v>18.7</v>
          </cell>
          <cell r="K57">
            <v>164.9</v>
          </cell>
          <cell r="L57">
            <v>152.4</v>
          </cell>
          <cell r="M57">
            <v>12.5</v>
          </cell>
          <cell r="N57">
            <v>18.100000000000001</v>
          </cell>
          <cell r="O57">
            <v>138.80000000000001</v>
          </cell>
          <cell r="P57">
            <v>134.30000000000001</v>
          </cell>
          <cell r="Q57">
            <v>4.5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18.399999999999999</v>
          </cell>
          <cell r="G59">
            <v>134.80000000000001</v>
          </cell>
          <cell r="H59">
            <v>125.4</v>
          </cell>
          <cell r="I59">
            <v>9.4</v>
          </cell>
          <cell r="J59">
            <v>18.8</v>
          </cell>
          <cell r="K59">
            <v>151.5</v>
          </cell>
          <cell r="L59">
            <v>138.5</v>
          </cell>
          <cell r="M59">
            <v>13</v>
          </cell>
          <cell r="N59">
            <v>17.899999999999999</v>
          </cell>
          <cell r="O59">
            <v>115.3</v>
          </cell>
          <cell r="P59">
            <v>110.1</v>
          </cell>
          <cell r="Q59">
            <v>5.2</v>
          </cell>
        </row>
        <row r="60">
          <cell r="C60" t="str">
            <v>特掲産業１</v>
          </cell>
          <cell r="F60" t="str">
            <v>#15.2</v>
          </cell>
          <cell r="G60" t="str">
            <v>#120.4</v>
          </cell>
          <cell r="H60" t="str">
            <v>#115.6</v>
          </cell>
          <cell r="I60" t="str">
            <v>#4.8</v>
          </cell>
          <cell r="J60" t="str">
            <v>#15.7</v>
          </cell>
          <cell r="K60" t="str">
            <v>#127.1</v>
          </cell>
          <cell r="L60" t="str">
            <v>#121.4</v>
          </cell>
          <cell r="M60" t="str">
            <v>#5.7</v>
          </cell>
          <cell r="N60" t="str">
            <v>#14.1</v>
          </cell>
          <cell r="O60" t="str">
            <v>#104.8</v>
          </cell>
          <cell r="P60" t="str">
            <v>#102.2</v>
          </cell>
          <cell r="Q60" t="str">
            <v>#2.6</v>
          </cell>
        </row>
        <row r="61">
          <cell r="C61" t="str">
            <v>特掲産業２</v>
          </cell>
          <cell r="F61" t="str">
            <v>#15.8</v>
          </cell>
          <cell r="G61" t="str">
            <v>#123.8</v>
          </cell>
          <cell r="H61" t="str">
            <v>#113.3</v>
          </cell>
          <cell r="I61" t="str">
            <v>#10.5</v>
          </cell>
          <cell r="J61" t="str">
            <v>#17.1</v>
          </cell>
          <cell r="K61" t="str">
            <v>#143.7</v>
          </cell>
          <cell r="L61" t="str">
            <v>#129</v>
          </cell>
          <cell r="M61" t="str">
            <v>#14.7</v>
          </cell>
          <cell r="N61" t="str">
            <v>#14.1</v>
          </cell>
          <cell r="O61" t="str">
            <v>#98.4</v>
          </cell>
          <cell r="P61" t="str">
            <v>#93.2</v>
          </cell>
          <cell r="Q61" t="str">
            <v>#5.2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18.899999999999999</v>
          </cell>
          <cell r="G80">
            <v>145.30000000000001</v>
          </cell>
          <cell r="H80">
            <v>135.19999999999999</v>
          </cell>
          <cell r="I80">
            <v>10.1</v>
          </cell>
          <cell r="J80">
            <v>19.600000000000001</v>
          </cell>
          <cell r="K80">
            <v>160.69999999999999</v>
          </cell>
          <cell r="L80">
            <v>145.9</v>
          </cell>
          <cell r="M80">
            <v>14.8</v>
          </cell>
          <cell r="N80">
            <v>18.2</v>
          </cell>
          <cell r="O80">
            <v>130.1</v>
          </cell>
          <cell r="P80">
            <v>124.6</v>
          </cell>
          <cell r="Q80">
            <v>5.5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21.4</v>
          </cell>
          <cell r="G82">
            <v>163</v>
          </cell>
          <cell r="H82">
            <v>156.19999999999999</v>
          </cell>
          <cell r="I82">
            <v>6.8</v>
          </cell>
          <cell r="J82">
            <v>21.7</v>
          </cell>
          <cell r="K82">
            <v>168.2</v>
          </cell>
          <cell r="L82">
            <v>160.5</v>
          </cell>
          <cell r="M82">
            <v>7.7</v>
          </cell>
          <cell r="N82">
            <v>20.100000000000001</v>
          </cell>
          <cell r="O82">
            <v>135.9</v>
          </cell>
          <cell r="P82">
            <v>133.6</v>
          </cell>
          <cell r="Q82">
            <v>2.2999999999999998</v>
          </cell>
        </row>
        <row r="83">
          <cell r="C83" t="str">
            <v>製造業</v>
          </cell>
          <cell r="F83">
            <v>20</v>
          </cell>
          <cell r="G83">
            <v>162.6</v>
          </cell>
          <cell r="H83">
            <v>149.19999999999999</v>
          </cell>
          <cell r="I83">
            <v>13.4</v>
          </cell>
          <cell r="J83">
            <v>20.2</v>
          </cell>
          <cell r="K83">
            <v>171.4</v>
          </cell>
          <cell r="L83">
            <v>154.19999999999999</v>
          </cell>
          <cell r="M83">
            <v>17.2</v>
          </cell>
          <cell r="N83">
            <v>19.600000000000001</v>
          </cell>
          <cell r="O83">
            <v>150</v>
          </cell>
          <cell r="P83">
            <v>142</v>
          </cell>
          <cell r="Q83">
            <v>8</v>
          </cell>
        </row>
        <row r="84">
          <cell r="C84" t="str">
            <v>電気・ガス・熱供給・水道業</v>
          </cell>
          <cell r="F84">
            <v>19.5</v>
          </cell>
          <cell r="G84">
            <v>158.9</v>
          </cell>
          <cell r="H84">
            <v>142.80000000000001</v>
          </cell>
          <cell r="I84">
            <v>16.100000000000001</v>
          </cell>
          <cell r="J84">
            <v>19.5</v>
          </cell>
          <cell r="K84">
            <v>161.1</v>
          </cell>
          <cell r="L84">
            <v>144</v>
          </cell>
          <cell r="M84">
            <v>17.100000000000001</v>
          </cell>
          <cell r="N84">
            <v>19.3</v>
          </cell>
          <cell r="O84">
            <v>143.1</v>
          </cell>
          <cell r="P84">
            <v>134.19999999999999</v>
          </cell>
          <cell r="Q84">
            <v>8.9</v>
          </cell>
        </row>
        <row r="85">
          <cell r="C85" t="str">
            <v>情報通信業</v>
          </cell>
          <cell r="F85">
            <v>19.7</v>
          </cell>
          <cell r="G85">
            <v>160.9</v>
          </cell>
          <cell r="H85">
            <v>149.4</v>
          </cell>
          <cell r="I85">
            <v>11.5</v>
          </cell>
          <cell r="J85">
            <v>19.7</v>
          </cell>
          <cell r="K85">
            <v>162.5</v>
          </cell>
          <cell r="L85">
            <v>150.30000000000001</v>
          </cell>
          <cell r="M85">
            <v>12.2</v>
          </cell>
          <cell r="N85">
            <v>19.600000000000001</v>
          </cell>
          <cell r="O85">
            <v>157.6</v>
          </cell>
          <cell r="P85">
            <v>147.4</v>
          </cell>
          <cell r="Q85">
            <v>10.199999999999999</v>
          </cell>
        </row>
        <row r="86">
          <cell r="C86" t="str">
            <v>運輸業，郵便業</v>
          </cell>
          <cell r="F86">
            <v>20.100000000000001</v>
          </cell>
          <cell r="G86">
            <v>178.1</v>
          </cell>
          <cell r="H86">
            <v>147.1</v>
          </cell>
          <cell r="I86">
            <v>31</v>
          </cell>
          <cell r="J86">
            <v>20.399999999999999</v>
          </cell>
          <cell r="K86">
            <v>184.6</v>
          </cell>
          <cell r="L86">
            <v>149.1</v>
          </cell>
          <cell r="M86">
            <v>35.5</v>
          </cell>
          <cell r="N86">
            <v>18.600000000000001</v>
          </cell>
          <cell r="O86">
            <v>145</v>
          </cell>
          <cell r="P86">
            <v>136.80000000000001</v>
          </cell>
          <cell r="Q86">
            <v>8.1999999999999993</v>
          </cell>
        </row>
        <row r="87">
          <cell r="C87" t="str">
            <v>卸売業，小売業</v>
          </cell>
          <cell r="F87">
            <v>18.7</v>
          </cell>
          <cell r="G87">
            <v>140.1</v>
          </cell>
          <cell r="H87">
            <v>131.5</v>
          </cell>
          <cell r="I87">
            <v>8.6</v>
          </cell>
          <cell r="J87">
            <v>19.2</v>
          </cell>
          <cell r="K87">
            <v>156</v>
          </cell>
          <cell r="L87">
            <v>143.80000000000001</v>
          </cell>
          <cell r="M87">
            <v>12.2</v>
          </cell>
          <cell r="N87">
            <v>18.100000000000001</v>
          </cell>
          <cell r="O87">
            <v>120.8</v>
          </cell>
          <cell r="P87">
            <v>116.6</v>
          </cell>
          <cell r="Q87">
            <v>4.2</v>
          </cell>
        </row>
        <row r="88">
          <cell r="C88" t="str">
            <v>金融業，保険業</v>
          </cell>
          <cell r="F88">
            <v>18.8</v>
          </cell>
          <cell r="G88">
            <v>146.6</v>
          </cell>
          <cell r="H88">
            <v>140.4</v>
          </cell>
          <cell r="I88">
            <v>6.2</v>
          </cell>
          <cell r="J88">
            <v>19.2</v>
          </cell>
          <cell r="K88">
            <v>153.1</v>
          </cell>
          <cell r="L88">
            <v>145.4</v>
          </cell>
          <cell r="M88">
            <v>7.7</v>
          </cell>
          <cell r="N88">
            <v>18.100000000000001</v>
          </cell>
          <cell r="O88">
            <v>136.69999999999999</v>
          </cell>
          <cell r="P88">
            <v>132.69999999999999</v>
          </cell>
          <cell r="Q88">
            <v>4</v>
          </cell>
        </row>
        <row r="89">
          <cell r="C89" t="str">
            <v>不動産業，物品賃貸業</v>
          </cell>
          <cell r="F89">
            <v>17.2</v>
          </cell>
          <cell r="G89">
            <v>110.3</v>
          </cell>
          <cell r="H89">
            <v>106.6</v>
          </cell>
          <cell r="I89">
            <v>3.7</v>
          </cell>
          <cell r="J89">
            <v>20.5</v>
          </cell>
          <cell r="K89">
            <v>159.9</v>
          </cell>
          <cell r="L89">
            <v>151.80000000000001</v>
          </cell>
          <cell r="M89">
            <v>8.1</v>
          </cell>
          <cell r="N89">
            <v>15.1</v>
          </cell>
          <cell r="O89">
            <v>79.400000000000006</v>
          </cell>
          <cell r="P89">
            <v>78.5</v>
          </cell>
          <cell r="Q89">
            <v>0.9</v>
          </cell>
        </row>
        <row r="90">
          <cell r="C90" t="str">
            <v>学術研究，専門・技術サービス業</v>
          </cell>
          <cell r="F90">
            <v>19.7</v>
          </cell>
          <cell r="G90">
            <v>162.19999999999999</v>
          </cell>
          <cell r="H90">
            <v>155</v>
          </cell>
          <cell r="I90">
            <v>7.2</v>
          </cell>
          <cell r="J90">
            <v>20.100000000000001</v>
          </cell>
          <cell r="K90">
            <v>172.2</v>
          </cell>
          <cell r="L90">
            <v>165.1</v>
          </cell>
          <cell r="M90">
            <v>7.1</v>
          </cell>
          <cell r="N90">
            <v>19.100000000000001</v>
          </cell>
          <cell r="O90">
            <v>143.80000000000001</v>
          </cell>
          <cell r="P90">
            <v>136.5</v>
          </cell>
          <cell r="Q90">
            <v>7.3</v>
          </cell>
        </row>
        <row r="91">
          <cell r="C91" t="str">
            <v>宿泊業，飲食サービス業</v>
          </cell>
          <cell r="F91">
            <v>14.8</v>
          </cell>
          <cell r="G91">
            <v>89.9</v>
          </cell>
          <cell r="H91">
            <v>86.3</v>
          </cell>
          <cell r="I91">
            <v>3.6</v>
          </cell>
          <cell r="J91">
            <v>16.399999999999999</v>
          </cell>
          <cell r="K91">
            <v>107.1</v>
          </cell>
          <cell r="L91">
            <v>101.6</v>
          </cell>
          <cell r="M91">
            <v>5.5</v>
          </cell>
          <cell r="N91">
            <v>14</v>
          </cell>
          <cell r="O91">
            <v>81.099999999999994</v>
          </cell>
          <cell r="P91">
            <v>78.5</v>
          </cell>
          <cell r="Q91">
            <v>2.6</v>
          </cell>
        </row>
        <row r="92">
          <cell r="C92" t="str">
            <v>生活関連サービス業，娯楽業</v>
          </cell>
          <cell r="F92">
            <v>16.600000000000001</v>
          </cell>
          <cell r="G92">
            <v>121.1</v>
          </cell>
          <cell r="H92">
            <v>117.1</v>
          </cell>
          <cell r="I92">
            <v>4</v>
          </cell>
          <cell r="J92">
            <v>16.3</v>
          </cell>
          <cell r="K92">
            <v>125.5</v>
          </cell>
          <cell r="L92">
            <v>120.2</v>
          </cell>
          <cell r="M92">
            <v>5.3</v>
          </cell>
          <cell r="N92">
            <v>17</v>
          </cell>
          <cell r="O92">
            <v>115.9</v>
          </cell>
          <cell r="P92">
            <v>113.4</v>
          </cell>
          <cell r="Q92">
            <v>2.5</v>
          </cell>
        </row>
        <row r="93">
          <cell r="C93" t="str">
            <v>教育，学習支援業</v>
          </cell>
          <cell r="F93">
            <v>19.3</v>
          </cell>
          <cell r="G93">
            <v>167.7</v>
          </cell>
          <cell r="H93">
            <v>139.80000000000001</v>
          </cell>
          <cell r="I93">
            <v>27.9</v>
          </cell>
          <cell r="J93">
            <v>20.3</v>
          </cell>
          <cell r="K93">
            <v>184.2</v>
          </cell>
          <cell r="L93">
            <v>146.69999999999999</v>
          </cell>
          <cell r="M93">
            <v>37.5</v>
          </cell>
          <cell r="N93">
            <v>18.399999999999999</v>
          </cell>
          <cell r="O93">
            <v>152.80000000000001</v>
          </cell>
          <cell r="P93">
            <v>133.5</v>
          </cell>
          <cell r="Q93">
            <v>19.3</v>
          </cell>
        </row>
        <row r="94">
          <cell r="C94" t="str">
            <v>医療，福祉</v>
          </cell>
          <cell r="F94">
            <v>19</v>
          </cell>
          <cell r="G94">
            <v>139.4</v>
          </cell>
          <cell r="H94">
            <v>135.30000000000001</v>
          </cell>
          <cell r="I94">
            <v>4.0999999999999996</v>
          </cell>
          <cell r="J94">
            <v>19.3</v>
          </cell>
          <cell r="K94">
            <v>148.69999999999999</v>
          </cell>
          <cell r="L94">
            <v>143.1</v>
          </cell>
          <cell r="M94">
            <v>5.6</v>
          </cell>
          <cell r="N94">
            <v>19</v>
          </cell>
          <cell r="O94">
            <v>136.4</v>
          </cell>
          <cell r="P94">
            <v>132.80000000000001</v>
          </cell>
          <cell r="Q94">
            <v>3.6</v>
          </cell>
        </row>
        <row r="95">
          <cell r="C95" t="str">
            <v>複合サービス事業</v>
          </cell>
          <cell r="F95">
            <v>20.2</v>
          </cell>
          <cell r="G95">
            <v>163.4</v>
          </cell>
          <cell r="H95">
            <v>157.69999999999999</v>
          </cell>
          <cell r="I95">
            <v>5.7</v>
          </cell>
          <cell r="J95">
            <v>19.899999999999999</v>
          </cell>
          <cell r="K95">
            <v>163.80000000000001</v>
          </cell>
          <cell r="L95">
            <v>158</v>
          </cell>
          <cell r="M95">
            <v>5.8</v>
          </cell>
          <cell r="N95">
            <v>20.7</v>
          </cell>
          <cell r="O95">
            <v>162.80000000000001</v>
          </cell>
          <cell r="P95">
            <v>157.19999999999999</v>
          </cell>
          <cell r="Q95">
            <v>5.6</v>
          </cell>
        </row>
        <row r="96">
          <cell r="C96" t="str">
            <v>サービス業（他に分類されないもの）</v>
          </cell>
          <cell r="F96">
            <v>18.5</v>
          </cell>
          <cell r="G96">
            <v>139.6</v>
          </cell>
          <cell r="H96">
            <v>131.4</v>
          </cell>
          <cell r="I96">
            <v>8.1999999999999993</v>
          </cell>
          <cell r="J96">
            <v>19.2</v>
          </cell>
          <cell r="K96">
            <v>156</v>
          </cell>
          <cell r="L96">
            <v>144</v>
          </cell>
          <cell r="M96">
            <v>12</v>
          </cell>
          <cell r="N96">
            <v>17.8</v>
          </cell>
          <cell r="O96">
            <v>124.1</v>
          </cell>
          <cell r="P96">
            <v>119.5</v>
          </cell>
          <cell r="Q96">
            <v>4.5999999999999996</v>
          </cell>
        </row>
        <row r="97">
          <cell r="C97" t="str">
            <v>食料品・たばこ</v>
          </cell>
          <cell r="F97">
            <v>19.899999999999999</v>
          </cell>
          <cell r="G97">
            <v>156.5</v>
          </cell>
          <cell r="H97">
            <v>144.1</v>
          </cell>
          <cell r="I97">
            <v>12.4</v>
          </cell>
          <cell r="J97">
            <v>20.6</v>
          </cell>
          <cell r="K97">
            <v>174</v>
          </cell>
          <cell r="L97">
            <v>156.4</v>
          </cell>
          <cell r="M97">
            <v>17.600000000000001</v>
          </cell>
          <cell r="N97">
            <v>19.399999999999999</v>
          </cell>
          <cell r="O97">
            <v>144.4</v>
          </cell>
          <cell r="P97">
            <v>135.6</v>
          </cell>
          <cell r="Q97">
            <v>8.8000000000000007</v>
          </cell>
        </row>
        <row r="98">
          <cell r="C98" t="str">
            <v>繊維工業</v>
          </cell>
          <cell r="F98">
            <v>20.399999999999999</v>
          </cell>
          <cell r="G98">
            <v>166.7</v>
          </cell>
          <cell r="H98">
            <v>153.6</v>
          </cell>
          <cell r="I98">
            <v>13.1</v>
          </cell>
          <cell r="J98">
            <v>20.3</v>
          </cell>
          <cell r="K98">
            <v>168.2</v>
          </cell>
          <cell r="L98">
            <v>152.1</v>
          </cell>
          <cell r="M98">
            <v>16.100000000000001</v>
          </cell>
          <cell r="N98">
            <v>20.399999999999999</v>
          </cell>
          <cell r="O98">
            <v>165.9</v>
          </cell>
          <cell r="P98">
            <v>154.5</v>
          </cell>
          <cell r="Q98">
            <v>11.4</v>
          </cell>
        </row>
        <row r="99">
          <cell r="C99" t="str">
            <v>木材・木製品</v>
          </cell>
          <cell r="F99">
            <v>18.5</v>
          </cell>
          <cell r="G99">
            <v>144.9</v>
          </cell>
          <cell r="H99">
            <v>134.19999999999999</v>
          </cell>
          <cell r="I99">
            <v>10.7</v>
          </cell>
          <cell r="J99">
            <v>18</v>
          </cell>
          <cell r="K99">
            <v>146.5</v>
          </cell>
          <cell r="L99">
            <v>132.69999999999999</v>
          </cell>
          <cell r="M99">
            <v>13.8</v>
          </cell>
          <cell r="N99">
            <v>19.5</v>
          </cell>
          <cell r="O99">
            <v>141.5</v>
          </cell>
          <cell r="P99">
            <v>137.30000000000001</v>
          </cell>
          <cell r="Q99">
            <v>4.2</v>
          </cell>
        </row>
        <row r="100">
          <cell r="C100" t="str">
            <v>家具・装備品</v>
          </cell>
          <cell r="F100" t="str">
            <v>#21.5</v>
          </cell>
          <cell r="G100" t="str">
            <v>#161.2</v>
          </cell>
          <cell r="H100" t="str">
            <v>#161.2</v>
          </cell>
          <cell r="I100" t="str">
            <v>#0</v>
          </cell>
          <cell r="J100" t="str">
            <v>#21.4</v>
          </cell>
          <cell r="K100" t="str">
            <v>#165.2</v>
          </cell>
          <cell r="L100" t="str">
            <v>#165.2</v>
          </cell>
          <cell r="M100" t="str">
            <v>#0</v>
          </cell>
          <cell r="N100" t="str">
            <v>#21.9</v>
          </cell>
          <cell r="O100" t="str">
            <v>#151.4</v>
          </cell>
          <cell r="P100" t="str">
            <v>#151.4</v>
          </cell>
          <cell r="Q100" t="str">
            <v>#0</v>
          </cell>
        </row>
        <row r="101">
          <cell r="C101" t="str">
            <v>パルプ・紙</v>
          </cell>
          <cell r="F101">
            <v>22.1</v>
          </cell>
          <cell r="G101">
            <v>175.4</v>
          </cell>
          <cell r="H101">
            <v>162.5</v>
          </cell>
          <cell r="I101">
            <v>12.9</v>
          </cell>
          <cell r="J101">
            <v>22.5</v>
          </cell>
          <cell r="K101">
            <v>181.8</v>
          </cell>
          <cell r="L101">
            <v>165.7</v>
          </cell>
          <cell r="M101">
            <v>16.100000000000001</v>
          </cell>
          <cell r="N101">
            <v>20.6</v>
          </cell>
          <cell r="O101">
            <v>153.6</v>
          </cell>
          <cell r="P101">
            <v>151.5</v>
          </cell>
          <cell r="Q101">
            <v>2.1</v>
          </cell>
        </row>
        <row r="102">
          <cell r="C102" t="str">
            <v>印刷・同関連業</v>
          </cell>
          <cell r="F102">
            <v>19.899999999999999</v>
          </cell>
          <cell r="G102">
            <v>157.30000000000001</v>
          </cell>
          <cell r="H102">
            <v>151</v>
          </cell>
          <cell r="I102">
            <v>6.3</v>
          </cell>
          <cell r="J102">
            <v>19.7</v>
          </cell>
          <cell r="K102">
            <v>159.4</v>
          </cell>
          <cell r="L102">
            <v>151.69999999999999</v>
          </cell>
          <cell r="M102">
            <v>7.7</v>
          </cell>
          <cell r="N102">
            <v>20.399999999999999</v>
          </cell>
          <cell r="O102">
            <v>152.80000000000001</v>
          </cell>
          <cell r="P102">
            <v>149.5</v>
          </cell>
          <cell r="Q102">
            <v>3.3</v>
          </cell>
        </row>
        <row r="103">
          <cell r="C103" t="str">
            <v>化学、石油・石炭</v>
          </cell>
          <cell r="F103">
            <v>19.5</v>
          </cell>
          <cell r="G103">
            <v>159</v>
          </cell>
          <cell r="H103">
            <v>142.5</v>
          </cell>
          <cell r="I103">
            <v>16.5</v>
          </cell>
          <cell r="J103">
            <v>19.5</v>
          </cell>
          <cell r="K103">
            <v>159.80000000000001</v>
          </cell>
          <cell r="L103">
            <v>142.5</v>
          </cell>
          <cell r="M103">
            <v>17.3</v>
          </cell>
          <cell r="N103">
            <v>19.3</v>
          </cell>
          <cell r="O103">
            <v>149</v>
          </cell>
          <cell r="P103">
            <v>143</v>
          </cell>
          <cell r="Q103">
            <v>6</v>
          </cell>
        </row>
        <row r="104">
          <cell r="C104" t="str">
            <v>プラスチック製品</v>
          </cell>
          <cell r="F104">
            <v>20.6</v>
          </cell>
          <cell r="G104">
            <v>165.2</v>
          </cell>
          <cell r="H104">
            <v>151.9</v>
          </cell>
          <cell r="I104">
            <v>13.3</v>
          </cell>
          <cell r="J104">
            <v>20.9</v>
          </cell>
          <cell r="K104">
            <v>174.6</v>
          </cell>
          <cell r="L104">
            <v>157.4</v>
          </cell>
          <cell r="M104">
            <v>17.2</v>
          </cell>
          <cell r="N104">
            <v>19.899999999999999</v>
          </cell>
          <cell r="O104">
            <v>136.69999999999999</v>
          </cell>
          <cell r="P104">
            <v>135.19999999999999</v>
          </cell>
          <cell r="Q104">
            <v>1.5</v>
          </cell>
        </row>
        <row r="105">
          <cell r="C105" t="str">
            <v>ゴム製品</v>
          </cell>
          <cell r="F105">
            <v>20.6</v>
          </cell>
          <cell r="G105">
            <v>172.6</v>
          </cell>
          <cell r="H105">
            <v>151.80000000000001</v>
          </cell>
          <cell r="I105">
            <v>20.8</v>
          </cell>
          <cell r="J105">
            <v>20.7</v>
          </cell>
          <cell r="K105">
            <v>174.3</v>
          </cell>
          <cell r="L105">
            <v>151.69999999999999</v>
          </cell>
          <cell r="M105">
            <v>22.6</v>
          </cell>
          <cell r="N105">
            <v>19.899999999999999</v>
          </cell>
          <cell r="O105">
            <v>160.80000000000001</v>
          </cell>
          <cell r="P105">
            <v>152.4</v>
          </cell>
          <cell r="Q105">
            <v>8.4</v>
          </cell>
        </row>
        <row r="106">
          <cell r="C106" t="str">
            <v>窯業・土石製品</v>
          </cell>
          <cell r="F106">
            <v>21.2</v>
          </cell>
          <cell r="G106">
            <v>175.6</v>
          </cell>
          <cell r="H106">
            <v>167.2</v>
          </cell>
          <cell r="I106">
            <v>8.4</v>
          </cell>
          <cell r="J106">
            <v>20.9</v>
          </cell>
          <cell r="K106">
            <v>176.2</v>
          </cell>
          <cell r="L106">
            <v>165.8</v>
          </cell>
          <cell r="M106">
            <v>10.4</v>
          </cell>
          <cell r="N106">
            <v>22.2</v>
          </cell>
          <cell r="O106">
            <v>173.3</v>
          </cell>
          <cell r="P106">
            <v>171.9</v>
          </cell>
          <cell r="Q106">
            <v>1.4</v>
          </cell>
        </row>
        <row r="107">
          <cell r="C107" t="str">
            <v>鉄鋼業</v>
          </cell>
          <cell r="F107">
            <v>19.8</v>
          </cell>
          <cell r="G107">
            <v>171.8</v>
          </cell>
          <cell r="H107">
            <v>152.1</v>
          </cell>
          <cell r="I107">
            <v>19.7</v>
          </cell>
          <cell r="J107">
            <v>19.3</v>
          </cell>
          <cell r="K107">
            <v>173.9</v>
          </cell>
          <cell r="L107">
            <v>151.4</v>
          </cell>
          <cell r="M107">
            <v>22.5</v>
          </cell>
          <cell r="N107">
            <v>22.3</v>
          </cell>
          <cell r="O107">
            <v>163</v>
          </cell>
          <cell r="P107">
            <v>155.19999999999999</v>
          </cell>
          <cell r="Q107">
            <v>7.8</v>
          </cell>
        </row>
        <row r="108">
          <cell r="C108" t="str">
            <v>非鉄金属製造業</v>
          </cell>
          <cell r="F108" t="str">
            <v>#17.8</v>
          </cell>
          <cell r="G108" t="str">
            <v>#141.6</v>
          </cell>
          <cell r="H108" t="str">
            <v>#139.8</v>
          </cell>
          <cell r="I108" t="str">
            <v>#1.8</v>
          </cell>
          <cell r="J108" t="str">
            <v>#18.5</v>
          </cell>
          <cell r="K108" t="str">
            <v>#150.4</v>
          </cell>
          <cell r="L108" t="str">
            <v>#148.1</v>
          </cell>
          <cell r="M108" t="str">
            <v>#2.3</v>
          </cell>
          <cell r="N108" t="str">
            <v>#17</v>
          </cell>
          <cell r="O108" t="str">
            <v>#133.2</v>
          </cell>
          <cell r="P108" t="str">
            <v>#131.8</v>
          </cell>
          <cell r="Q108" t="str">
            <v>#1.4</v>
          </cell>
        </row>
        <row r="109">
          <cell r="C109" t="str">
            <v>金属製品製造業</v>
          </cell>
          <cell r="F109">
            <v>21.7</v>
          </cell>
          <cell r="G109">
            <v>174.2</v>
          </cell>
          <cell r="H109">
            <v>160</v>
          </cell>
          <cell r="I109">
            <v>14.2</v>
          </cell>
          <cell r="J109">
            <v>21.7</v>
          </cell>
          <cell r="K109">
            <v>183.7</v>
          </cell>
          <cell r="L109">
            <v>165.4</v>
          </cell>
          <cell r="M109">
            <v>18.3</v>
          </cell>
          <cell r="N109">
            <v>21.6</v>
          </cell>
          <cell r="O109">
            <v>155.6</v>
          </cell>
          <cell r="P109">
            <v>149.5</v>
          </cell>
          <cell r="Q109">
            <v>6.1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19.899999999999999</v>
          </cell>
          <cell r="G112">
            <v>164.9</v>
          </cell>
          <cell r="H112">
            <v>156.1</v>
          </cell>
          <cell r="I112">
            <v>8.8000000000000007</v>
          </cell>
          <cell r="J112">
            <v>20.5</v>
          </cell>
          <cell r="K112">
            <v>171.5</v>
          </cell>
          <cell r="L112">
            <v>160</v>
          </cell>
          <cell r="M112">
            <v>11.5</v>
          </cell>
          <cell r="N112">
            <v>19.3</v>
          </cell>
          <cell r="O112">
            <v>158.9</v>
          </cell>
          <cell r="P112">
            <v>152.5</v>
          </cell>
          <cell r="Q112">
            <v>6.4</v>
          </cell>
        </row>
        <row r="113">
          <cell r="C113" t="str">
            <v>電子・デバイス</v>
          </cell>
          <cell r="F113">
            <v>18.399999999999999</v>
          </cell>
          <cell r="G113">
            <v>158</v>
          </cell>
          <cell r="H113">
            <v>146.19999999999999</v>
          </cell>
          <cell r="I113">
            <v>11.8</v>
          </cell>
          <cell r="J113">
            <v>18.600000000000001</v>
          </cell>
          <cell r="K113">
            <v>165.2</v>
          </cell>
          <cell r="L113">
            <v>150.1</v>
          </cell>
          <cell r="M113">
            <v>15.1</v>
          </cell>
          <cell r="N113">
            <v>18</v>
          </cell>
          <cell r="O113">
            <v>144.1</v>
          </cell>
          <cell r="P113">
            <v>138.6</v>
          </cell>
          <cell r="Q113">
            <v>5.5</v>
          </cell>
        </row>
        <row r="114">
          <cell r="C114" t="str">
            <v>電気機械器具</v>
          </cell>
          <cell r="F114">
            <v>21.2</v>
          </cell>
          <cell r="G114">
            <v>172.3</v>
          </cell>
          <cell r="H114">
            <v>162.6</v>
          </cell>
          <cell r="I114">
            <v>9.6999999999999993</v>
          </cell>
          <cell r="J114">
            <v>21.7</v>
          </cell>
          <cell r="K114">
            <v>180.1</v>
          </cell>
          <cell r="L114">
            <v>167.1</v>
          </cell>
          <cell r="M114">
            <v>13</v>
          </cell>
          <cell r="N114">
            <v>20.2</v>
          </cell>
          <cell r="O114">
            <v>156.19999999999999</v>
          </cell>
          <cell r="P114">
            <v>153.30000000000001</v>
          </cell>
          <cell r="Q114">
            <v>2.9</v>
          </cell>
        </row>
        <row r="115">
          <cell r="C115" t="str">
            <v>情報通信機械器具</v>
          </cell>
          <cell r="F115" t="str">
            <v>#17.6</v>
          </cell>
          <cell r="G115" t="str">
            <v>#151.9</v>
          </cell>
          <cell r="H115" t="str">
            <v>#139</v>
          </cell>
          <cell r="I115" t="str">
            <v>#12.9</v>
          </cell>
          <cell r="J115" t="str">
            <v>#17.7</v>
          </cell>
          <cell r="K115" t="str">
            <v>#156.1</v>
          </cell>
          <cell r="L115" t="str">
            <v>#139.7</v>
          </cell>
          <cell r="M115" t="str">
            <v>#16.4</v>
          </cell>
          <cell r="N115" t="str">
            <v>#17.5</v>
          </cell>
          <cell r="O115" t="str">
            <v>#146.6</v>
          </cell>
          <cell r="P115" t="str">
            <v>#138.2</v>
          </cell>
          <cell r="Q115" t="str">
            <v>#8.4</v>
          </cell>
        </row>
        <row r="116">
          <cell r="C116" t="str">
            <v>輸送用機械器具</v>
          </cell>
          <cell r="F116">
            <v>18.600000000000001</v>
          </cell>
          <cell r="G116">
            <v>173.9</v>
          </cell>
          <cell r="H116">
            <v>150.5</v>
          </cell>
          <cell r="I116">
            <v>23.4</v>
          </cell>
          <cell r="J116">
            <v>18.7</v>
          </cell>
          <cell r="K116">
            <v>177.8</v>
          </cell>
          <cell r="L116">
            <v>152.4</v>
          </cell>
          <cell r="M116">
            <v>25.4</v>
          </cell>
          <cell r="N116">
            <v>18.3</v>
          </cell>
          <cell r="O116">
            <v>157.30000000000001</v>
          </cell>
          <cell r="P116">
            <v>142.4</v>
          </cell>
          <cell r="Q116">
            <v>14.9</v>
          </cell>
        </row>
        <row r="117">
          <cell r="C117" t="str">
            <v>その他の製造業</v>
          </cell>
          <cell r="F117">
            <v>21.1</v>
          </cell>
          <cell r="G117">
            <v>182</v>
          </cell>
          <cell r="H117">
            <v>155.1</v>
          </cell>
          <cell r="I117">
            <v>26.9</v>
          </cell>
          <cell r="J117">
            <v>21.9</v>
          </cell>
          <cell r="K117">
            <v>195.6</v>
          </cell>
          <cell r="L117">
            <v>161.9</v>
          </cell>
          <cell r="M117">
            <v>33.700000000000003</v>
          </cell>
          <cell r="N117">
            <v>18.100000000000001</v>
          </cell>
          <cell r="O117">
            <v>133.1</v>
          </cell>
          <cell r="P117">
            <v>130.4</v>
          </cell>
          <cell r="Q117">
            <v>2.7</v>
          </cell>
        </row>
        <row r="118">
          <cell r="C118" t="str">
            <v>Ｅ一括分１</v>
          </cell>
          <cell r="F118">
            <v>20.9</v>
          </cell>
          <cell r="G118">
            <v>178.9</v>
          </cell>
          <cell r="H118">
            <v>162.30000000000001</v>
          </cell>
          <cell r="I118">
            <v>16.600000000000001</v>
          </cell>
          <cell r="J118">
            <v>21.1</v>
          </cell>
          <cell r="K118">
            <v>180.4</v>
          </cell>
          <cell r="L118">
            <v>162.4</v>
          </cell>
          <cell r="M118">
            <v>18</v>
          </cell>
          <cell r="N118">
            <v>20</v>
          </cell>
          <cell r="O118">
            <v>173</v>
          </cell>
          <cell r="P118">
            <v>161.80000000000001</v>
          </cell>
          <cell r="Q118">
            <v>11.2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21.3</v>
          </cell>
          <cell r="G121">
            <v>178.3</v>
          </cell>
          <cell r="H121">
            <v>165.6</v>
          </cell>
          <cell r="I121">
            <v>12.7</v>
          </cell>
          <cell r="J121">
            <v>21.2</v>
          </cell>
          <cell r="K121">
            <v>181.8</v>
          </cell>
          <cell r="L121">
            <v>167.7</v>
          </cell>
          <cell r="M121">
            <v>14.1</v>
          </cell>
          <cell r="N121">
            <v>21.7</v>
          </cell>
          <cell r="O121">
            <v>164</v>
          </cell>
          <cell r="P121">
            <v>157.1</v>
          </cell>
          <cell r="Q121">
            <v>6.9</v>
          </cell>
        </row>
        <row r="122">
          <cell r="C122" t="str">
            <v>小売業</v>
          </cell>
          <cell r="F122">
            <v>17.899999999999999</v>
          </cell>
          <cell r="G122">
            <v>127.7</v>
          </cell>
          <cell r="H122">
            <v>120.4</v>
          </cell>
          <cell r="I122">
            <v>7.3</v>
          </cell>
          <cell r="J122">
            <v>18.100000000000001</v>
          </cell>
          <cell r="K122">
            <v>141.5</v>
          </cell>
          <cell r="L122">
            <v>130.30000000000001</v>
          </cell>
          <cell r="M122">
            <v>11.2</v>
          </cell>
          <cell r="N122">
            <v>17.7</v>
          </cell>
          <cell r="O122">
            <v>115.6</v>
          </cell>
          <cell r="P122">
            <v>111.7</v>
          </cell>
          <cell r="Q122">
            <v>3.9</v>
          </cell>
        </row>
        <row r="123">
          <cell r="C123" t="str">
            <v>宿泊業</v>
          </cell>
          <cell r="F123">
            <v>18.600000000000001</v>
          </cell>
          <cell r="G123">
            <v>123.1</v>
          </cell>
          <cell r="H123">
            <v>116</v>
          </cell>
          <cell r="I123">
            <v>7.1</v>
          </cell>
          <cell r="J123">
            <v>20.3</v>
          </cell>
          <cell r="K123">
            <v>149.19999999999999</v>
          </cell>
          <cell r="L123">
            <v>137</v>
          </cell>
          <cell r="M123">
            <v>12.2</v>
          </cell>
          <cell r="N123">
            <v>17.8</v>
          </cell>
          <cell r="O123">
            <v>110.8</v>
          </cell>
          <cell r="P123">
            <v>106.1</v>
          </cell>
          <cell r="Q123">
            <v>4.7</v>
          </cell>
        </row>
        <row r="124">
          <cell r="C124" t="str">
            <v>Ｍ一括分</v>
          </cell>
          <cell r="F124">
            <v>14.1</v>
          </cell>
          <cell r="G124">
            <v>84</v>
          </cell>
          <cell r="H124">
            <v>81</v>
          </cell>
          <cell r="I124">
            <v>3</v>
          </cell>
          <cell r="J124">
            <v>15.7</v>
          </cell>
          <cell r="K124">
            <v>100.1</v>
          </cell>
          <cell r="L124">
            <v>95.7</v>
          </cell>
          <cell r="M124">
            <v>4.4000000000000004</v>
          </cell>
          <cell r="N124">
            <v>13.3</v>
          </cell>
          <cell r="O124">
            <v>75.599999999999994</v>
          </cell>
          <cell r="P124">
            <v>73.400000000000006</v>
          </cell>
          <cell r="Q124">
            <v>2.2000000000000002</v>
          </cell>
        </row>
        <row r="125">
          <cell r="C125" t="str">
            <v>医療業</v>
          </cell>
          <cell r="F125">
            <v>19.7</v>
          </cell>
          <cell r="G125">
            <v>145.1</v>
          </cell>
          <cell r="H125">
            <v>140.30000000000001</v>
          </cell>
          <cell r="I125">
            <v>4.8</v>
          </cell>
          <cell r="J125">
            <v>20.2</v>
          </cell>
          <cell r="K125">
            <v>158.1</v>
          </cell>
          <cell r="L125">
            <v>151.1</v>
          </cell>
          <cell r="M125">
            <v>7</v>
          </cell>
          <cell r="N125">
            <v>19.600000000000001</v>
          </cell>
          <cell r="O125">
            <v>141.69999999999999</v>
          </cell>
          <cell r="P125">
            <v>137.5</v>
          </cell>
          <cell r="Q125">
            <v>4.2</v>
          </cell>
        </row>
        <row r="126">
          <cell r="C126" t="str">
            <v>Ｐ一括分</v>
          </cell>
          <cell r="F126">
            <v>18.399999999999999</v>
          </cell>
          <cell r="G126">
            <v>134.30000000000001</v>
          </cell>
          <cell r="H126">
            <v>130.9</v>
          </cell>
          <cell r="I126">
            <v>3.4</v>
          </cell>
          <cell r="J126">
            <v>18.7</v>
          </cell>
          <cell r="K126">
            <v>142.4</v>
          </cell>
          <cell r="L126">
            <v>137.69999999999999</v>
          </cell>
          <cell r="M126">
            <v>4.7</v>
          </cell>
          <cell r="N126">
            <v>18.3</v>
          </cell>
          <cell r="O126">
            <v>131.5</v>
          </cell>
          <cell r="P126">
            <v>128.5</v>
          </cell>
          <cell r="Q126">
            <v>3</v>
          </cell>
        </row>
        <row r="127">
          <cell r="C127" t="str">
            <v>職業紹介・派遣業</v>
          </cell>
          <cell r="F127">
            <v>18.399999999999999</v>
          </cell>
          <cell r="G127">
            <v>149.19999999999999</v>
          </cell>
          <cell r="H127">
            <v>141.69999999999999</v>
          </cell>
          <cell r="I127">
            <v>7.5</v>
          </cell>
          <cell r="J127">
            <v>18.5</v>
          </cell>
          <cell r="K127">
            <v>160.30000000000001</v>
          </cell>
          <cell r="L127">
            <v>149.30000000000001</v>
          </cell>
          <cell r="M127">
            <v>11</v>
          </cell>
          <cell r="N127">
            <v>18.3</v>
          </cell>
          <cell r="O127">
            <v>140</v>
          </cell>
          <cell r="P127">
            <v>135.5</v>
          </cell>
          <cell r="Q127">
            <v>4.5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18.5</v>
          </cell>
          <cell r="G129">
            <v>137.69999999999999</v>
          </cell>
          <cell r="H129">
            <v>129.4</v>
          </cell>
          <cell r="I129">
            <v>8.3000000000000007</v>
          </cell>
          <cell r="J129">
            <v>19.399999999999999</v>
          </cell>
          <cell r="K129">
            <v>155.19999999999999</v>
          </cell>
          <cell r="L129">
            <v>143</v>
          </cell>
          <cell r="M129">
            <v>12.2</v>
          </cell>
          <cell r="N129">
            <v>17.7</v>
          </cell>
          <cell r="O129">
            <v>120.8</v>
          </cell>
          <cell r="P129">
            <v>116.2</v>
          </cell>
          <cell r="Q129">
            <v>4.5999999999999996</v>
          </cell>
        </row>
        <row r="130">
          <cell r="C130" t="str">
            <v>特掲産業１</v>
          </cell>
          <cell r="F130">
            <v>15.1</v>
          </cell>
          <cell r="G130">
            <v>110.6</v>
          </cell>
          <cell r="H130">
            <v>107.7</v>
          </cell>
          <cell r="I130">
            <v>2.9</v>
          </cell>
          <cell r="J130">
            <v>14.1</v>
          </cell>
          <cell r="K130">
            <v>110.8</v>
          </cell>
          <cell r="L130">
            <v>106.3</v>
          </cell>
          <cell r="M130">
            <v>4.5</v>
          </cell>
          <cell r="N130">
            <v>16.2</v>
          </cell>
          <cell r="O130">
            <v>110.3</v>
          </cell>
          <cell r="P130">
            <v>109.1</v>
          </cell>
          <cell r="Q130">
            <v>1.2</v>
          </cell>
        </row>
        <row r="131">
          <cell r="C131" t="str">
            <v>特掲産業２</v>
          </cell>
          <cell r="F131">
            <v>20.5</v>
          </cell>
          <cell r="G131">
            <v>142.19999999999999</v>
          </cell>
          <cell r="H131">
            <v>137.9</v>
          </cell>
          <cell r="I131">
            <v>4.3</v>
          </cell>
          <cell r="J131">
            <v>20.100000000000001</v>
          </cell>
          <cell r="K131">
            <v>140.1</v>
          </cell>
          <cell r="L131">
            <v>133.80000000000001</v>
          </cell>
          <cell r="M131">
            <v>6.3</v>
          </cell>
          <cell r="N131">
            <v>21.2</v>
          </cell>
          <cell r="O131">
            <v>146.5</v>
          </cell>
          <cell r="P131">
            <v>146.1</v>
          </cell>
          <cell r="Q131">
            <v>0.4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3.9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  <cell r="D9" t="str">
            <v>調査産業計</v>
          </cell>
        </row>
        <row r="10">
          <cell r="B10" t="str">
            <v>D</v>
          </cell>
          <cell r="D10" t="str">
            <v>建設業</v>
          </cell>
        </row>
        <row r="11">
          <cell r="B11" t="str">
            <v>E</v>
          </cell>
          <cell r="D11" t="str">
            <v>製造業</v>
          </cell>
        </row>
        <row r="12">
          <cell r="B12" t="str">
            <v>F</v>
          </cell>
          <cell r="D12" t="str">
            <v>電気・ガス・熱供給・水道業</v>
          </cell>
        </row>
        <row r="13">
          <cell r="B13" t="str">
            <v>G</v>
          </cell>
          <cell r="D13" t="str">
            <v>情報通信業</v>
          </cell>
        </row>
        <row r="14">
          <cell r="B14" t="str">
            <v>H</v>
          </cell>
          <cell r="D14" t="str">
            <v>運輸業，郵便業</v>
          </cell>
        </row>
        <row r="15">
          <cell r="B15" t="str">
            <v>I</v>
          </cell>
          <cell r="D15" t="str">
            <v>卸売業，小売業</v>
          </cell>
        </row>
        <row r="16">
          <cell r="B16" t="str">
            <v>J</v>
          </cell>
          <cell r="D16" t="str">
            <v>金融業，保険業</v>
          </cell>
        </row>
        <row r="17">
          <cell r="B17" t="str">
            <v>K</v>
          </cell>
          <cell r="D17" t="str">
            <v>不動産業，物品賃貸業</v>
          </cell>
        </row>
        <row r="18">
          <cell r="B18" t="str">
            <v>L</v>
          </cell>
          <cell r="D18" t="str">
            <v>学術研究，専門・技術サービス業</v>
          </cell>
        </row>
        <row r="19">
          <cell r="B19" t="str">
            <v>M</v>
          </cell>
          <cell r="D19" t="str">
            <v>宿泊業，飲食サービス業</v>
          </cell>
        </row>
        <row r="20">
          <cell r="B20" t="str">
            <v>N</v>
          </cell>
          <cell r="D20" t="str">
            <v>生活関連サービス業，娯楽業</v>
          </cell>
        </row>
        <row r="21">
          <cell r="B21" t="str">
            <v>O</v>
          </cell>
          <cell r="D21" t="str">
            <v>教育，学習支援業</v>
          </cell>
        </row>
        <row r="22">
          <cell r="B22" t="str">
            <v>P</v>
          </cell>
          <cell r="D22" t="str">
            <v>医療，福祉</v>
          </cell>
        </row>
        <row r="23">
          <cell r="B23" t="str">
            <v>Q</v>
          </cell>
          <cell r="D23" t="str">
            <v>複合サービス事業</v>
          </cell>
        </row>
        <row r="24">
          <cell r="B24" t="str">
            <v>R</v>
          </cell>
          <cell r="D24" t="str">
            <v>サービス業（他に分類されないもの）</v>
          </cell>
        </row>
        <row r="25">
          <cell r="B25" t="str">
            <v>E09,10</v>
          </cell>
          <cell r="D25" t="str">
            <v>食料品・たばこ</v>
          </cell>
        </row>
        <row r="26">
          <cell r="B26" t="str">
            <v>E11</v>
          </cell>
          <cell r="D26" t="str">
            <v>繊維工業</v>
          </cell>
        </row>
        <row r="27">
          <cell r="B27" t="str">
            <v>E12</v>
          </cell>
          <cell r="D27" t="str">
            <v>木材・木製品</v>
          </cell>
        </row>
        <row r="28">
          <cell r="B28" t="str">
            <v>E13</v>
          </cell>
          <cell r="D28" t="str">
            <v>家具・装備品</v>
          </cell>
        </row>
        <row r="29">
          <cell r="B29" t="str">
            <v>E15</v>
          </cell>
          <cell r="D29" t="str">
            <v>印刷・同関連業</v>
          </cell>
        </row>
        <row r="30">
          <cell r="B30" t="str">
            <v>E16,17</v>
          </cell>
          <cell r="D30" t="str">
            <v>化学、石油・石炭</v>
          </cell>
        </row>
        <row r="31">
          <cell r="B31" t="str">
            <v>E18</v>
          </cell>
          <cell r="D31" t="str">
            <v>プラスチック製品</v>
          </cell>
        </row>
        <row r="32">
          <cell r="B32" t="str">
            <v>E19</v>
          </cell>
          <cell r="D32" t="str">
            <v>ゴム製品</v>
          </cell>
        </row>
        <row r="33">
          <cell r="B33" t="str">
            <v>E21</v>
          </cell>
          <cell r="D33" t="str">
            <v>窯業・土石製品</v>
          </cell>
        </row>
        <row r="34">
          <cell r="B34" t="str">
            <v>E24</v>
          </cell>
          <cell r="D34" t="str">
            <v>金属製品製造業</v>
          </cell>
        </row>
        <row r="35">
          <cell r="B35" t="str">
            <v>E27</v>
          </cell>
          <cell r="D35" t="str">
            <v>業務用機械器具</v>
          </cell>
        </row>
        <row r="36">
          <cell r="B36" t="str">
            <v>E28</v>
          </cell>
          <cell r="D36" t="str">
            <v>電子・デバイス</v>
          </cell>
        </row>
        <row r="37">
          <cell r="B37" t="str">
            <v>E29</v>
          </cell>
          <cell r="D37" t="str">
            <v>電気機械器具</v>
          </cell>
        </row>
        <row r="38">
          <cell r="B38" t="str">
            <v>E31</v>
          </cell>
          <cell r="D38" t="str">
            <v>輸送用機械器具</v>
          </cell>
        </row>
        <row r="39">
          <cell r="B39" t="str">
            <v>ES</v>
          </cell>
          <cell r="D39" t="str">
            <v>はん用・生産用機械器具</v>
          </cell>
        </row>
        <row r="40">
          <cell r="B40" t="str">
            <v>R91</v>
          </cell>
          <cell r="D40" t="str">
            <v>職業紹介・労働者派遣業</v>
          </cell>
        </row>
      </sheetData>
      <sheetData sheetId="16">
        <row r="9">
          <cell r="E9">
            <v>232380</v>
          </cell>
        </row>
      </sheetData>
      <sheetData sheetId="17">
        <row r="9">
          <cell r="E9">
            <v>18.899999999999999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5</v>
          </cell>
        </row>
        <row r="23">
          <cell r="D23" t="str">
            <v>調査産業計</v>
          </cell>
        </row>
        <row r="24">
          <cell r="D24" t="str">
            <v>建設業</v>
          </cell>
        </row>
        <row r="25">
          <cell r="D25" t="str">
            <v>製造業</v>
          </cell>
        </row>
        <row r="26">
          <cell r="D26" t="str">
            <v>電気・ガス・熱供給・水道業</v>
          </cell>
        </row>
        <row r="27">
          <cell r="D27" t="str">
            <v>情報通信業</v>
          </cell>
        </row>
        <row r="28">
          <cell r="D28" t="str">
            <v>運輸業，郵便業</v>
          </cell>
        </row>
        <row r="29">
          <cell r="D29" t="str">
            <v>卸売業，小売業</v>
          </cell>
        </row>
        <row r="30">
          <cell r="D30" t="str">
            <v>金融業，保険業</v>
          </cell>
          <cell r="I30" t="str">
            <v>x</v>
          </cell>
        </row>
        <row r="31">
          <cell r="D31" t="str">
            <v>不動産業，物品賃貸業</v>
          </cell>
        </row>
        <row r="32">
          <cell r="D32" t="str">
            <v>学術研究，専門・技術サービス業</v>
          </cell>
        </row>
        <row r="33">
          <cell r="D33" t="str">
            <v>宿泊業，飲食サービス業</v>
          </cell>
        </row>
        <row r="34">
          <cell r="D34" t="str">
            <v>生活関連サービス業，娯楽業</v>
          </cell>
        </row>
        <row r="35">
          <cell r="D35" t="str">
            <v>教育，学習支援業</v>
          </cell>
        </row>
        <row r="36">
          <cell r="D36" t="str">
            <v>医療，福祉</v>
          </cell>
        </row>
        <row r="37">
          <cell r="D37" t="str">
            <v>複合サービス事業</v>
          </cell>
        </row>
        <row r="38">
          <cell r="D38" t="str">
            <v>サービス業（他に分類されないもの）</v>
          </cell>
        </row>
        <row r="39">
          <cell r="D39" t="str">
            <v>食料品・たばこ</v>
          </cell>
        </row>
        <row r="40">
          <cell r="D40" t="str">
            <v>繊維工業</v>
          </cell>
        </row>
        <row r="41">
          <cell r="D41" t="str">
            <v>木材・木製品</v>
          </cell>
        </row>
        <row r="42">
          <cell r="D42" t="str">
            <v>家具・装備品</v>
          </cell>
          <cell r="H42" t="str">
            <v>x</v>
          </cell>
          <cell r="I42" t="str">
            <v>x</v>
          </cell>
        </row>
        <row r="43">
          <cell r="D43" t="str">
            <v>印刷・同関連業</v>
          </cell>
          <cell r="I43" t="str">
            <v>x</v>
          </cell>
        </row>
        <row r="44">
          <cell r="D44" t="str">
            <v>化学、石油・石炭</v>
          </cell>
        </row>
        <row r="45">
          <cell r="D45" t="str">
            <v>プラスチック製品</v>
          </cell>
        </row>
        <row r="46">
          <cell r="D46" t="str">
            <v>ゴム製品</v>
          </cell>
        </row>
        <row r="47">
          <cell r="D47" t="str">
            <v>窯業・土石製品</v>
          </cell>
        </row>
        <row r="48">
          <cell r="D48" t="str">
            <v>金属製品製造業</v>
          </cell>
        </row>
        <row r="49">
          <cell r="D49" t="str">
            <v>業務用機械器具</v>
          </cell>
        </row>
        <row r="50">
          <cell r="D50" t="str">
            <v>電子・デバイス</v>
          </cell>
        </row>
        <row r="51">
          <cell r="D51" t="str">
            <v>電気機械器具</v>
          </cell>
        </row>
        <row r="52">
          <cell r="D52" t="str">
            <v>輸送用機械器具</v>
          </cell>
        </row>
        <row r="53">
          <cell r="D53" t="str">
            <v>Ｅ一括分１</v>
          </cell>
        </row>
        <row r="54">
          <cell r="D54" t="str">
            <v>職業紹介・派遣業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3049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  <cell r="F10">
            <v>18.399999999999999</v>
          </cell>
          <cell r="G10">
            <v>143.9</v>
          </cell>
          <cell r="H10">
            <v>133.1</v>
          </cell>
          <cell r="I10">
            <v>10.8</v>
          </cell>
          <cell r="J10">
            <v>18.7</v>
          </cell>
          <cell r="K10">
            <v>155.6</v>
          </cell>
          <cell r="L10">
            <v>140.6</v>
          </cell>
          <cell r="M10">
            <v>15</v>
          </cell>
          <cell r="N10">
            <v>18.100000000000001</v>
          </cell>
          <cell r="O10">
            <v>132.5</v>
          </cell>
          <cell r="P10">
            <v>125.8</v>
          </cell>
          <cell r="Q10">
            <v>6.7</v>
          </cell>
        </row>
        <row r="11">
          <cell r="C11" t="str">
            <v>鉱業，採石業，砂利採取業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C12" t="str">
            <v>建設業</v>
          </cell>
          <cell r="F12">
            <v>18.5</v>
          </cell>
          <cell r="G12">
            <v>150.69999999999999</v>
          </cell>
          <cell r="H12">
            <v>142.19999999999999</v>
          </cell>
          <cell r="I12">
            <v>8.5</v>
          </cell>
          <cell r="J12">
            <v>18.600000000000001</v>
          </cell>
          <cell r="K12">
            <v>149.30000000000001</v>
          </cell>
          <cell r="L12">
            <v>139.9</v>
          </cell>
          <cell r="M12">
            <v>9.4</v>
          </cell>
          <cell r="N12">
            <v>18.3</v>
          </cell>
          <cell r="O12">
            <v>156.19999999999999</v>
          </cell>
          <cell r="P12">
            <v>151.30000000000001</v>
          </cell>
          <cell r="Q12">
            <v>4.9000000000000004</v>
          </cell>
        </row>
        <row r="13">
          <cell r="C13" t="str">
            <v>製造業</v>
          </cell>
          <cell r="F13">
            <v>18.2</v>
          </cell>
          <cell r="G13">
            <v>149.5</v>
          </cell>
          <cell r="H13">
            <v>137</v>
          </cell>
          <cell r="I13">
            <v>12.5</v>
          </cell>
          <cell r="J13">
            <v>18.399999999999999</v>
          </cell>
          <cell r="K13">
            <v>156.1</v>
          </cell>
          <cell r="L13">
            <v>140.6</v>
          </cell>
          <cell r="M13">
            <v>15.5</v>
          </cell>
          <cell r="N13">
            <v>17.8</v>
          </cell>
          <cell r="O13">
            <v>138.1</v>
          </cell>
          <cell r="P13">
            <v>130.80000000000001</v>
          </cell>
          <cell r="Q13">
            <v>7.3</v>
          </cell>
        </row>
        <row r="14">
          <cell r="C14" t="str">
            <v>電気・ガス・熱供給・水道業</v>
          </cell>
          <cell r="F14">
            <v>18.7</v>
          </cell>
          <cell r="G14">
            <v>151.30000000000001</v>
          </cell>
          <cell r="H14">
            <v>134.5</v>
          </cell>
          <cell r="I14">
            <v>16.8</v>
          </cell>
          <cell r="J14">
            <v>18.8</v>
          </cell>
          <cell r="K14">
            <v>154.80000000000001</v>
          </cell>
          <cell r="L14">
            <v>136.4</v>
          </cell>
          <cell r="M14">
            <v>18.399999999999999</v>
          </cell>
          <cell r="N14">
            <v>18.3</v>
          </cell>
          <cell r="O14">
            <v>129</v>
          </cell>
          <cell r="P14">
            <v>122.3</v>
          </cell>
          <cell r="Q14">
            <v>6.7</v>
          </cell>
        </row>
        <row r="15">
          <cell r="C15" t="str">
            <v>情報通信業</v>
          </cell>
          <cell r="F15">
            <v>18.399999999999999</v>
          </cell>
          <cell r="G15">
            <v>151.9</v>
          </cell>
          <cell r="H15">
            <v>139.19999999999999</v>
          </cell>
          <cell r="I15">
            <v>12.7</v>
          </cell>
          <cell r="J15">
            <v>18.5</v>
          </cell>
          <cell r="K15">
            <v>154.1</v>
          </cell>
          <cell r="L15">
            <v>140.5</v>
          </cell>
          <cell r="M15">
            <v>13.6</v>
          </cell>
          <cell r="N15">
            <v>18.3</v>
          </cell>
          <cell r="O15">
            <v>146.6</v>
          </cell>
          <cell r="P15">
            <v>136.1</v>
          </cell>
          <cell r="Q15">
            <v>10.5</v>
          </cell>
        </row>
        <row r="16">
          <cell r="C16" t="str">
            <v>運輸業，郵便業</v>
          </cell>
          <cell r="F16">
            <v>19.100000000000001</v>
          </cell>
          <cell r="G16">
            <v>162.1</v>
          </cell>
          <cell r="H16">
            <v>140.9</v>
          </cell>
          <cell r="I16">
            <v>21.2</v>
          </cell>
          <cell r="J16">
            <v>19.2</v>
          </cell>
          <cell r="K16">
            <v>165.3</v>
          </cell>
          <cell r="L16">
            <v>141.69999999999999</v>
          </cell>
          <cell r="M16">
            <v>23.6</v>
          </cell>
          <cell r="N16">
            <v>18.8</v>
          </cell>
          <cell r="O16">
            <v>145.1</v>
          </cell>
          <cell r="P16">
            <v>136.5</v>
          </cell>
          <cell r="Q16">
            <v>8.6</v>
          </cell>
        </row>
        <row r="17">
          <cell r="C17" t="str">
            <v>卸売業，小売業</v>
          </cell>
          <cell r="F17">
            <v>18.3</v>
          </cell>
          <cell r="G17">
            <v>128.1</v>
          </cell>
          <cell r="H17">
            <v>120.1</v>
          </cell>
          <cell r="I17">
            <v>8</v>
          </cell>
          <cell r="J17">
            <v>19.2</v>
          </cell>
          <cell r="K17">
            <v>151.9</v>
          </cell>
          <cell r="L17">
            <v>138.5</v>
          </cell>
          <cell r="M17">
            <v>13.4</v>
          </cell>
          <cell r="N17">
            <v>17.7</v>
          </cell>
          <cell r="O17">
            <v>112.1</v>
          </cell>
          <cell r="P17">
            <v>107.7</v>
          </cell>
          <cell r="Q17">
            <v>4.4000000000000004</v>
          </cell>
        </row>
        <row r="18">
          <cell r="C18" t="str">
            <v>金融業，保険業</v>
          </cell>
          <cell r="F18" t="str">
            <v>#18.9</v>
          </cell>
          <cell r="G18" t="str">
            <v>#139.7</v>
          </cell>
          <cell r="H18" t="str">
            <v>#137.2</v>
          </cell>
          <cell r="I18" t="str">
            <v>#2.5</v>
          </cell>
          <cell r="J18" t="str">
            <v>#18.8</v>
          </cell>
          <cell r="K18" t="str">
            <v>#138.3</v>
          </cell>
          <cell r="L18" t="str">
            <v>#136.2</v>
          </cell>
          <cell r="M18" t="str">
            <v>#2.1</v>
          </cell>
          <cell r="N18" t="str">
            <v>#19.3</v>
          </cell>
          <cell r="O18" t="str">
            <v>#145.6</v>
          </cell>
          <cell r="P18" t="str">
            <v>#141.5</v>
          </cell>
          <cell r="Q18" t="str">
            <v>#4.1</v>
          </cell>
        </row>
        <row r="19">
          <cell r="C19" t="str">
            <v>不動産業，物品賃貸業</v>
          </cell>
          <cell r="F19">
            <v>20.7</v>
          </cell>
          <cell r="G19">
            <v>160.6</v>
          </cell>
          <cell r="H19">
            <v>155.19999999999999</v>
          </cell>
          <cell r="I19">
            <v>5.4</v>
          </cell>
          <cell r="J19">
            <v>21.3</v>
          </cell>
          <cell r="K19">
            <v>173.8</v>
          </cell>
          <cell r="L19">
            <v>167.4</v>
          </cell>
          <cell r="M19">
            <v>6.4</v>
          </cell>
          <cell r="N19">
            <v>19.8</v>
          </cell>
          <cell r="O19">
            <v>137.6</v>
          </cell>
          <cell r="P19">
            <v>134</v>
          </cell>
          <cell r="Q19">
            <v>3.6</v>
          </cell>
        </row>
        <row r="20">
          <cell r="C20" t="str">
            <v>学術研究，専門・技術サービス業</v>
          </cell>
          <cell r="F20">
            <v>17.899999999999999</v>
          </cell>
          <cell r="G20">
            <v>155.1</v>
          </cell>
          <cell r="H20">
            <v>140.1</v>
          </cell>
          <cell r="I20">
            <v>15</v>
          </cell>
          <cell r="J20">
            <v>17.7</v>
          </cell>
          <cell r="K20">
            <v>154.80000000000001</v>
          </cell>
          <cell r="L20">
            <v>139.6</v>
          </cell>
          <cell r="M20">
            <v>15.2</v>
          </cell>
          <cell r="N20">
            <v>18.7</v>
          </cell>
          <cell r="O20">
            <v>155.69999999999999</v>
          </cell>
          <cell r="P20">
            <v>141.69999999999999</v>
          </cell>
          <cell r="Q20">
            <v>14</v>
          </cell>
        </row>
        <row r="21">
          <cell r="C21" t="str">
            <v>宿泊業，飲食サービス業</v>
          </cell>
          <cell r="F21">
            <v>15.6</v>
          </cell>
          <cell r="G21">
            <v>100.1</v>
          </cell>
          <cell r="H21">
            <v>94.2</v>
          </cell>
          <cell r="I21">
            <v>5.9</v>
          </cell>
          <cell r="J21">
            <v>16.100000000000001</v>
          </cell>
          <cell r="K21">
            <v>112.2</v>
          </cell>
          <cell r="L21">
            <v>102.7</v>
          </cell>
          <cell r="M21">
            <v>9.5</v>
          </cell>
          <cell r="N21">
            <v>15.3</v>
          </cell>
          <cell r="O21">
            <v>93.4</v>
          </cell>
          <cell r="P21">
            <v>89.5</v>
          </cell>
          <cell r="Q21">
            <v>3.9</v>
          </cell>
        </row>
        <row r="22">
          <cell r="C22" t="str">
            <v>生活関連サービス業，娯楽業</v>
          </cell>
          <cell r="F22">
            <v>16.899999999999999</v>
          </cell>
          <cell r="G22">
            <v>153.1</v>
          </cell>
          <cell r="H22">
            <v>144.9</v>
          </cell>
          <cell r="I22">
            <v>8.1999999999999993</v>
          </cell>
          <cell r="J22">
            <v>17.100000000000001</v>
          </cell>
          <cell r="K22">
            <v>163.69999999999999</v>
          </cell>
          <cell r="L22">
            <v>154.19999999999999</v>
          </cell>
          <cell r="M22">
            <v>9.5</v>
          </cell>
          <cell r="N22">
            <v>16.600000000000001</v>
          </cell>
          <cell r="O22">
            <v>135.6</v>
          </cell>
          <cell r="P22">
            <v>129.5</v>
          </cell>
          <cell r="Q22">
            <v>6.1</v>
          </cell>
        </row>
        <row r="23">
          <cell r="C23" t="str">
            <v>教育，学習支援業</v>
          </cell>
          <cell r="F23">
            <v>18.399999999999999</v>
          </cell>
          <cell r="G23">
            <v>166.9</v>
          </cell>
          <cell r="H23">
            <v>135.69999999999999</v>
          </cell>
          <cell r="I23">
            <v>31.2</v>
          </cell>
          <cell r="J23">
            <v>18.899999999999999</v>
          </cell>
          <cell r="K23">
            <v>179.9</v>
          </cell>
          <cell r="L23">
            <v>142</v>
          </cell>
          <cell r="M23">
            <v>37.9</v>
          </cell>
          <cell r="N23">
            <v>18</v>
          </cell>
          <cell r="O23">
            <v>155.4</v>
          </cell>
          <cell r="P23">
            <v>130.19999999999999</v>
          </cell>
          <cell r="Q23">
            <v>25.2</v>
          </cell>
        </row>
        <row r="24">
          <cell r="C24" t="str">
            <v>医療，福祉</v>
          </cell>
          <cell r="F24">
            <v>19</v>
          </cell>
          <cell r="G24">
            <v>141.4</v>
          </cell>
          <cell r="H24">
            <v>137.30000000000001</v>
          </cell>
          <cell r="I24">
            <v>4.0999999999999996</v>
          </cell>
          <cell r="J24">
            <v>19.5</v>
          </cell>
          <cell r="K24">
            <v>150.80000000000001</v>
          </cell>
          <cell r="L24">
            <v>145.1</v>
          </cell>
          <cell r="M24">
            <v>5.7</v>
          </cell>
          <cell r="N24">
            <v>18.8</v>
          </cell>
          <cell r="O24">
            <v>138.19999999999999</v>
          </cell>
          <cell r="P24">
            <v>134.6</v>
          </cell>
          <cell r="Q24">
            <v>3.6</v>
          </cell>
        </row>
        <row r="25">
          <cell r="C25" t="str">
            <v>複合サービス事業</v>
          </cell>
          <cell r="F25">
            <v>19.399999999999999</v>
          </cell>
          <cell r="G25">
            <v>154.9</v>
          </cell>
          <cell r="H25">
            <v>148.9</v>
          </cell>
          <cell r="I25">
            <v>6</v>
          </cell>
          <cell r="J25">
            <v>19.600000000000001</v>
          </cell>
          <cell r="K25">
            <v>158.9</v>
          </cell>
          <cell r="L25">
            <v>153</v>
          </cell>
          <cell r="M25">
            <v>5.9</v>
          </cell>
          <cell r="N25">
            <v>19.100000000000001</v>
          </cell>
          <cell r="O25">
            <v>148.9</v>
          </cell>
          <cell r="P25">
            <v>142.80000000000001</v>
          </cell>
          <cell r="Q25">
            <v>6.1</v>
          </cell>
        </row>
        <row r="26">
          <cell r="C26" t="str">
            <v>サービス業（他に分類されないもの）</v>
          </cell>
          <cell r="F26">
            <v>18.100000000000001</v>
          </cell>
          <cell r="G26">
            <v>134.30000000000001</v>
          </cell>
          <cell r="H26">
            <v>125.8</v>
          </cell>
          <cell r="I26">
            <v>8.5</v>
          </cell>
          <cell r="J26">
            <v>18.399999999999999</v>
          </cell>
          <cell r="K26">
            <v>150.69999999999999</v>
          </cell>
          <cell r="L26">
            <v>138.69999999999999</v>
          </cell>
          <cell r="M26">
            <v>12</v>
          </cell>
          <cell r="N26">
            <v>17.8</v>
          </cell>
          <cell r="O26">
            <v>117</v>
          </cell>
          <cell r="P26">
            <v>112.2</v>
          </cell>
          <cell r="Q26">
            <v>4.8</v>
          </cell>
        </row>
        <row r="27">
          <cell r="C27" t="str">
            <v>食料品・たばこ</v>
          </cell>
          <cell r="F27">
            <v>18.600000000000001</v>
          </cell>
          <cell r="G27">
            <v>148.4</v>
          </cell>
          <cell r="H27">
            <v>137.4</v>
          </cell>
          <cell r="I27">
            <v>11</v>
          </cell>
          <cell r="J27">
            <v>18.8</v>
          </cell>
          <cell r="K27">
            <v>157.5</v>
          </cell>
          <cell r="L27">
            <v>143.30000000000001</v>
          </cell>
          <cell r="M27">
            <v>14.2</v>
          </cell>
          <cell r="N27">
            <v>18.399999999999999</v>
          </cell>
          <cell r="O27">
            <v>139.9</v>
          </cell>
          <cell r="P27">
            <v>131.9</v>
          </cell>
          <cell r="Q27">
            <v>8</v>
          </cell>
        </row>
        <row r="28">
          <cell r="C28" t="str">
            <v>繊維工業</v>
          </cell>
          <cell r="F28">
            <v>18.100000000000001</v>
          </cell>
          <cell r="G28">
            <v>146.4</v>
          </cell>
          <cell r="H28">
            <v>135.80000000000001</v>
          </cell>
          <cell r="I28">
            <v>10.6</v>
          </cell>
          <cell r="J28">
            <v>19</v>
          </cell>
          <cell r="K28">
            <v>156.69999999999999</v>
          </cell>
          <cell r="L28">
            <v>142.6</v>
          </cell>
          <cell r="M28">
            <v>14.1</v>
          </cell>
          <cell r="N28">
            <v>17.399999999999999</v>
          </cell>
          <cell r="O28">
            <v>139</v>
          </cell>
          <cell r="P28">
            <v>130.9</v>
          </cell>
          <cell r="Q28">
            <v>8.1</v>
          </cell>
        </row>
        <row r="29">
          <cell r="C29" t="str">
            <v>木材・木製品</v>
          </cell>
          <cell r="F29">
            <v>17.8</v>
          </cell>
          <cell r="G29">
            <v>145.69999999999999</v>
          </cell>
          <cell r="H29">
            <v>134</v>
          </cell>
          <cell r="I29">
            <v>11.7</v>
          </cell>
          <cell r="J29">
            <v>17.5</v>
          </cell>
          <cell r="K29">
            <v>151.1</v>
          </cell>
          <cell r="L29">
            <v>136.80000000000001</v>
          </cell>
          <cell r="M29">
            <v>14.3</v>
          </cell>
          <cell r="N29">
            <v>19.399999999999999</v>
          </cell>
          <cell r="O29">
            <v>124.2</v>
          </cell>
          <cell r="P29">
            <v>122.7</v>
          </cell>
          <cell r="Q29">
            <v>1.5</v>
          </cell>
        </row>
        <row r="30">
          <cell r="C30" t="str">
            <v>家具・装備品</v>
          </cell>
          <cell r="F30" t="str">
            <v>#17.3</v>
          </cell>
          <cell r="G30" t="str">
            <v>#129.8</v>
          </cell>
          <cell r="H30" t="str">
            <v>#129.8</v>
          </cell>
          <cell r="I30" t="str">
            <v>#0</v>
          </cell>
          <cell r="J30" t="str">
            <v>#18.7</v>
          </cell>
          <cell r="K30" t="str">
            <v>#145.1</v>
          </cell>
          <cell r="L30" t="str">
            <v>#145.1</v>
          </cell>
          <cell r="M30" t="str">
            <v>#0</v>
          </cell>
          <cell r="N30" t="str">
            <v>#14</v>
          </cell>
          <cell r="O30" t="str">
            <v>#93.8</v>
          </cell>
          <cell r="P30" t="str">
            <v>#93.8</v>
          </cell>
          <cell r="Q30" t="str">
            <v>#0</v>
          </cell>
        </row>
        <row r="31">
          <cell r="C31" t="str">
            <v>パルプ・紙</v>
          </cell>
          <cell r="F31" t="str">
            <v>#20.9</v>
          </cell>
          <cell r="G31" t="str">
            <v>#165.1</v>
          </cell>
          <cell r="H31" t="str">
            <v>#154.3</v>
          </cell>
          <cell r="I31" t="str">
            <v>#10.8</v>
          </cell>
          <cell r="J31" t="str">
            <v>#21</v>
          </cell>
          <cell r="K31" t="str">
            <v>#169</v>
          </cell>
          <cell r="L31" t="str">
            <v>#154.9</v>
          </cell>
          <cell r="M31" t="str">
            <v>#14.1</v>
          </cell>
          <cell r="N31" t="str">
            <v>#20.4</v>
          </cell>
          <cell r="O31" t="str">
            <v>#153.3</v>
          </cell>
          <cell r="P31" t="str">
            <v>#152.4</v>
          </cell>
          <cell r="Q31" t="str">
            <v>#0.9</v>
          </cell>
        </row>
        <row r="32">
          <cell r="C32" t="str">
            <v>印刷・同関連業</v>
          </cell>
          <cell r="F32" t="str">
            <v>#18.6</v>
          </cell>
          <cell r="G32" t="str">
            <v>#150.3</v>
          </cell>
          <cell r="H32" t="str">
            <v>#134.7</v>
          </cell>
          <cell r="I32" t="str">
            <v>#15.6</v>
          </cell>
          <cell r="J32" t="str">
            <v>#18.6</v>
          </cell>
          <cell r="K32" t="str">
            <v>#149.4</v>
          </cell>
          <cell r="L32" t="str">
            <v>#132.8</v>
          </cell>
          <cell r="M32" t="str">
            <v>#16.6</v>
          </cell>
          <cell r="N32" t="str">
            <v>#19</v>
          </cell>
          <cell r="O32" t="str">
            <v>#154.3</v>
          </cell>
          <cell r="P32" t="str">
            <v>#143.3</v>
          </cell>
          <cell r="Q32" t="str">
            <v>#11</v>
          </cell>
        </row>
        <row r="33">
          <cell r="C33" t="str">
            <v>化学、石油・石炭</v>
          </cell>
          <cell r="F33">
            <v>18.399999999999999</v>
          </cell>
          <cell r="G33">
            <v>150.5</v>
          </cell>
          <cell r="H33">
            <v>133.5</v>
          </cell>
          <cell r="I33">
            <v>17</v>
          </cell>
          <cell r="J33">
            <v>18.399999999999999</v>
          </cell>
          <cell r="K33">
            <v>151.5</v>
          </cell>
          <cell r="L33">
            <v>133.6</v>
          </cell>
          <cell r="M33">
            <v>17.899999999999999</v>
          </cell>
          <cell r="N33">
            <v>17.600000000000001</v>
          </cell>
          <cell r="O33">
            <v>136.9</v>
          </cell>
          <cell r="P33">
            <v>131.1</v>
          </cell>
          <cell r="Q33">
            <v>5.8</v>
          </cell>
        </row>
        <row r="34">
          <cell r="C34" t="str">
            <v>プラスチック製品</v>
          </cell>
          <cell r="F34">
            <v>19.100000000000001</v>
          </cell>
          <cell r="G34">
            <v>148.1</v>
          </cell>
          <cell r="H34">
            <v>138.9</v>
          </cell>
          <cell r="I34">
            <v>9.1999999999999993</v>
          </cell>
          <cell r="J34">
            <v>19.399999999999999</v>
          </cell>
          <cell r="K34">
            <v>157.4</v>
          </cell>
          <cell r="L34">
            <v>145.19999999999999</v>
          </cell>
          <cell r="M34">
            <v>12.2</v>
          </cell>
          <cell r="N34">
            <v>18.399999999999999</v>
          </cell>
          <cell r="O34">
            <v>123.9</v>
          </cell>
          <cell r="P34">
            <v>122.5</v>
          </cell>
          <cell r="Q34">
            <v>1.4</v>
          </cell>
        </row>
        <row r="35">
          <cell r="C35" t="str">
            <v>ゴム製品</v>
          </cell>
          <cell r="F35">
            <v>18.7</v>
          </cell>
          <cell r="G35">
            <v>159</v>
          </cell>
          <cell r="H35">
            <v>137.69999999999999</v>
          </cell>
          <cell r="I35">
            <v>21.3</v>
          </cell>
          <cell r="J35">
            <v>18.899999999999999</v>
          </cell>
          <cell r="K35">
            <v>161.4</v>
          </cell>
          <cell r="L35">
            <v>138</v>
          </cell>
          <cell r="M35">
            <v>23.4</v>
          </cell>
          <cell r="N35">
            <v>17.8</v>
          </cell>
          <cell r="O35">
            <v>143</v>
          </cell>
          <cell r="P35">
            <v>135.80000000000001</v>
          </cell>
          <cell r="Q35">
            <v>7.2</v>
          </cell>
        </row>
        <row r="36">
          <cell r="C36" t="str">
            <v>窯業・土石製品</v>
          </cell>
          <cell r="F36">
            <v>18.3</v>
          </cell>
          <cell r="G36">
            <v>146</v>
          </cell>
          <cell r="H36">
            <v>135.80000000000001</v>
          </cell>
          <cell r="I36">
            <v>10.199999999999999</v>
          </cell>
          <cell r="J36">
            <v>18.2</v>
          </cell>
          <cell r="K36">
            <v>151.9</v>
          </cell>
          <cell r="L36">
            <v>139.1</v>
          </cell>
          <cell r="M36">
            <v>12.8</v>
          </cell>
          <cell r="N36">
            <v>18.600000000000001</v>
          </cell>
          <cell r="O36">
            <v>126.5</v>
          </cell>
          <cell r="P36">
            <v>124.9</v>
          </cell>
          <cell r="Q36">
            <v>1.6</v>
          </cell>
        </row>
        <row r="37">
          <cell r="C37" t="str">
            <v>鉄鋼業</v>
          </cell>
          <cell r="F37" t="str">
            <v>#18.8</v>
          </cell>
          <cell r="G37" t="str">
            <v>#174.3</v>
          </cell>
          <cell r="H37" t="str">
            <v>#147.2</v>
          </cell>
          <cell r="I37" t="str">
            <v>#27.1</v>
          </cell>
          <cell r="J37" t="str">
            <v>#18.9</v>
          </cell>
          <cell r="K37" t="str">
            <v>#176</v>
          </cell>
          <cell r="L37" t="str">
            <v>#148.3</v>
          </cell>
          <cell r="M37" t="str">
            <v>#27.7</v>
          </cell>
          <cell r="N37" t="str">
            <v>#16.5</v>
          </cell>
          <cell r="O37" t="str">
            <v>#148.1</v>
          </cell>
          <cell r="P37" t="str">
            <v>#130.9</v>
          </cell>
          <cell r="Q37" t="str">
            <v>#17.2</v>
          </cell>
        </row>
        <row r="38">
          <cell r="C38" t="str">
            <v>非鉄金属製造業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</row>
        <row r="39">
          <cell r="C39" t="str">
            <v>金属製品製造業</v>
          </cell>
          <cell r="F39">
            <v>18.100000000000001</v>
          </cell>
          <cell r="G39">
            <v>150.19999999999999</v>
          </cell>
          <cell r="H39">
            <v>138.19999999999999</v>
          </cell>
          <cell r="I39">
            <v>12</v>
          </cell>
          <cell r="J39">
            <v>18</v>
          </cell>
          <cell r="K39">
            <v>151.30000000000001</v>
          </cell>
          <cell r="L39">
            <v>137.9</v>
          </cell>
          <cell r="M39">
            <v>13.4</v>
          </cell>
          <cell r="N39">
            <v>18.600000000000001</v>
          </cell>
          <cell r="O39">
            <v>145.19999999999999</v>
          </cell>
          <cell r="P39">
            <v>139.5</v>
          </cell>
          <cell r="Q39">
            <v>5.7</v>
          </cell>
        </row>
        <row r="40">
          <cell r="C40" t="str">
            <v>はん用機械器具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C41" t="str">
            <v>生産用機械器具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C42" t="str">
            <v>業務用機械器具</v>
          </cell>
          <cell r="F42">
            <v>16.600000000000001</v>
          </cell>
          <cell r="G42">
            <v>140.6</v>
          </cell>
          <cell r="H42">
            <v>130.5</v>
          </cell>
          <cell r="I42">
            <v>10.1</v>
          </cell>
          <cell r="J42">
            <v>17</v>
          </cell>
          <cell r="K42">
            <v>144.6</v>
          </cell>
          <cell r="L42">
            <v>132.1</v>
          </cell>
          <cell r="M42">
            <v>12.5</v>
          </cell>
          <cell r="N42">
            <v>16.3</v>
          </cell>
          <cell r="O42">
            <v>136.9</v>
          </cell>
          <cell r="P42">
            <v>129.1</v>
          </cell>
          <cell r="Q42">
            <v>7.8</v>
          </cell>
        </row>
        <row r="43">
          <cell r="C43" t="str">
            <v>電子・デバイス</v>
          </cell>
          <cell r="F43">
            <v>17.7</v>
          </cell>
          <cell r="G43">
            <v>149.9</v>
          </cell>
          <cell r="H43">
            <v>138.1</v>
          </cell>
          <cell r="I43">
            <v>11.8</v>
          </cell>
          <cell r="J43">
            <v>18.100000000000001</v>
          </cell>
          <cell r="K43">
            <v>159</v>
          </cell>
          <cell r="L43">
            <v>143.9</v>
          </cell>
          <cell r="M43">
            <v>15.1</v>
          </cell>
          <cell r="N43">
            <v>17</v>
          </cell>
          <cell r="O43">
            <v>132.4</v>
          </cell>
          <cell r="P43">
            <v>127</v>
          </cell>
          <cell r="Q43">
            <v>5.4</v>
          </cell>
        </row>
        <row r="44">
          <cell r="C44" t="str">
            <v>電気機械器具</v>
          </cell>
          <cell r="F44">
            <v>17.100000000000001</v>
          </cell>
          <cell r="G44">
            <v>136.80000000000001</v>
          </cell>
          <cell r="H44">
            <v>130.9</v>
          </cell>
          <cell r="I44">
            <v>5.9</v>
          </cell>
          <cell r="J44">
            <v>17.7</v>
          </cell>
          <cell r="K44">
            <v>145.1</v>
          </cell>
          <cell r="L44">
            <v>137.19999999999999</v>
          </cell>
          <cell r="M44">
            <v>7.9</v>
          </cell>
          <cell r="N44">
            <v>15.8</v>
          </cell>
          <cell r="O44">
            <v>119.8</v>
          </cell>
          <cell r="P44">
            <v>118</v>
          </cell>
          <cell r="Q44">
            <v>1.8</v>
          </cell>
        </row>
        <row r="45">
          <cell r="C45" t="str">
            <v>情報通信機械器具</v>
          </cell>
          <cell r="F45">
            <v>16.8</v>
          </cell>
          <cell r="G45">
            <v>146.6</v>
          </cell>
          <cell r="H45">
            <v>135.19999999999999</v>
          </cell>
          <cell r="I45">
            <v>11.4</v>
          </cell>
          <cell r="J45">
            <v>17.100000000000001</v>
          </cell>
          <cell r="K45">
            <v>151.19999999999999</v>
          </cell>
          <cell r="L45">
            <v>137.19999999999999</v>
          </cell>
          <cell r="M45">
            <v>14</v>
          </cell>
          <cell r="N45">
            <v>16.5</v>
          </cell>
          <cell r="O45">
            <v>141.69999999999999</v>
          </cell>
          <cell r="P45">
            <v>133.1</v>
          </cell>
          <cell r="Q45">
            <v>8.6</v>
          </cell>
        </row>
        <row r="46">
          <cell r="C46" t="str">
            <v>輸送用機械器具</v>
          </cell>
          <cell r="F46">
            <v>16.399999999999999</v>
          </cell>
          <cell r="G46">
            <v>152.80000000000001</v>
          </cell>
          <cell r="H46">
            <v>132.4</v>
          </cell>
          <cell r="I46">
            <v>20.399999999999999</v>
          </cell>
          <cell r="J46">
            <v>16.399999999999999</v>
          </cell>
          <cell r="K46">
            <v>155</v>
          </cell>
          <cell r="L46">
            <v>133.1</v>
          </cell>
          <cell r="M46">
            <v>21.9</v>
          </cell>
          <cell r="N46">
            <v>16.5</v>
          </cell>
          <cell r="O46">
            <v>143.4</v>
          </cell>
          <cell r="P46">
            <v>129.6</v>
          </cell>
          <cell r="Q46">
            <v>13.8</v>
          </cell>
        </row>
        <row r="47">
          <cell r="C47" t="str">
            <v>その他の製造業</v>
          </cell>
          <cell r="F47">
            <v>17</v>
          </cell>
          <cell r="G47">
            <v>137.69999999999999</v>
          </cell>
          <cell r="H47">
            <v>130.19999999999999</v>
          </cell>
          <cell r="I47">
            <v>7.5</v>
          </cell>
          <cell r="J47">
            <v>17.399999999999999</v>
          </cell>
          <cell r="K47">
            <v>143.6</v>
          </cell>
          <cell r="L47">
            <v>134.80000000000001</v>
          </cell>
          <cell r="M47">
            <v>8.8000000000000007</v>
          </cell>
          <cell r="N47">
            <v>15.8</v>
          </cell>
          <cell r="O47">
            <v>116.4</v>
          </cell>
          <cell r="P47">
            <v>113.6</v>
          </cell>
          <cell r="Q47">
            <v>2.8</v>
          </cell>
        </row>
        <row r="48">
          <cell r="C48" t="str">
            <v>Ｅ一括分１</v>
          </cell>
          <cell r="F48">
            <v>18.7</v>
          </cell>
          <cell r="G48">
            <v>163</v>
          </cell>
          <cell r="H48">
            <v>150.1</v>
          </cell>
          <cell r="I48">
            <v>12.9</v>
          </cell>
          <cell r="J48">
            <v>18.8</v>
          </cell>
          <cell r="K48">
            <v>164.1</v>
          </cell>
          <cell r="L48">
            <v>151.1</v>
          </cell>
          <cell r="M48">
            <v>13</v>
          </cell>
          <cell r="N48">
            <v>18.2</v>
          </cell>
          <cell r="O48">
            <v>159.5</v>
          </cell>
          <cell r="P48">
            <v>146.9</v>
          </cell>
          <cell r="Q48">
            <v>12.6</v>
          </cell>
        </row>
        <row r="49">
          <cell r="C49" t="str">
            <v>Ｅ一括分２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C50" t="str">
            <v>Ｅ一括分３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C51" t="str">
            <v>卸売業</v>
          </cell>
          <cell r="F51">
            <v>19.8</v>
          </cell>
          <cell r="G51">
            <v>160.5</v>
          </cell>
          <cell r="H51">
            <v>150.69999999999999</v>
          </cell>
          <cell r="I51">
            <v>9.8000000000000007</v>
          </cell>
          <cell r="J51">
            <v>19.7</v>
          </cell>
          <cell r="K51">
            <v>164.1</v>
          </cell>
          <cell r="L51">
            <v>151.69999999999999</v>
          </cell>
          <cell r="M51">
            <v>12.4</v>
          </cell>
          <cell r="N51">
            <v>19.899999999999999</v>
          </cell>
          <cell r="O51">
            <v>152.4</v>
          </cell>
          <cell r="P51">
            <v>148.4</v>
          </cell>
          <cell r="Q51">
            <v>4</v>
          </cell>
        </row>
        <row r="52">
          <cell r="C52" t="str">
            <v>小売業</v>
          </cell>
          <cell r="F52">
            <v>17.899999999999999</v>
          </cell>
          <cell r="G52">
            <v>118.9</v>
          </cell>
          <cell r="H52">
            <v>111.4</v>
          </cell>
          <cell r="I52">
            <v>7.5</v>
          </cell>
          <cell r="J52">
            <v>18.899999999999999</v>
          </cell>
          <cell r="K52">
            <v>144.4</v>
          </cell>
          <cell r="L52">
            <v>130.4</v>
          </cell>
          <cell r="M52">
            <v>14</v>
          </cell>
          <cell r="N52">
            <v>17.399999999999999</v>
          </cell>
          <cell r="O52">
            <v>106.8</v>
          </cell>
          <cell r="P52">
            <v>102.4</v>
          </cell>
          <cell r="Q52">
            <v>4.4000000000000004</v>
          </cell>
        </row>
        <row r="53">
          <cell r="C53" t="str">
            <v>宿泊業</v>
          </cell>
          <cell r="F53">
            <v>19</v>
          </cell>
          <cell r="G53">
            <v>131.4</v>
          </cell>
          <cell r="H53">
            <v>121.6</v>
          </cell>
          <cell r="I53">
            <v>9.8000000000000007</v>
          </cell>
          <cell r="J53">
            <v>19.100000000000001</v>
          </cell>
          <cell r="K53">
            <v>146</v>
          </cell>
          <cell r="L53">
            <v>131.5</v>
          </cell>
          <cell r="M53">
            <v>14.5</v>
          </cell>
          <cell r="N53">
            <v>18.899999999999999</v>
          </cell>
          <cell r="O53">
            <v>121.4</v>
          </cell>
          <cell r="P53">
            <v>114.8</v>
          </cell>
          <cell r="Q53">
            <v>6.6</v>
          </cell>
        </row>
        <row r="54">
          <cell r="C54" t="str">
            <v>Ｍ一括分</v>
          </cell>
          <cell r="F54">
            <v>13.7</v>
          </cell>
          <cell r="G54">
            <v>82.5</v>
          </cell>
          <cell r="H54">
            <v>78.8</v>
          </cell>
          <cell r="I54">
            <v>3.7</v>
          </cell>
          <cell r="J54">
            <v>14.1</v>
          </cell>
          <cell r="K54">
            <v>88.1</v>
          </cell>
          <cell r="L54">
            <v>82.2</v>
          </cell>
          <cell r="M54">
            <v>5.9</v>
          </cell>
          <cell r="N54">
            <v>13.6</v>
          </cell>
          <cell r="O54">
            <v>79.8</v>
          </cell>
          <cell r="P54">
            <v>77.2</v>
          </cell>
          <cell r="Q54">
            <v>2.6</v>
          </cell>
        </row>
        <row r="55">
          <cell r="C55" t="str">
            <v>医療業</v>
          </cell>
          <cell r="F55">
            <v>19</v>
          </cell>
          <cell r="G55">
            <v>144.9</v>
          </cell>
          <cell r="H55">
            <v>140</v>
          </cell>
          <cell r="I55">
            <v>4.9000000000000004</v>
          </cell>
          <cell r="J55">
            <v>19.5</v>
          </cell>
          <cell r="K55">
            <v>151.9</v>
          </cell>
          <cell r="L55">
            <v>145.19999999999999</v>
          </cell>
          <cell r="M55">
            <v>6.7</v>
          </cell>
          <cell r="N55">
            <v>18.8</v>
          </cell>
          <cell r="O55">
            <v>142.6</v>
          </cell>
          <cell r="P55">
            <v>138.30000000000001</v>
          </cell>
          <cell r="Q55">
            <v>4.3</v>
          </cell>
        </row>
        <row r="56">
          <cell r="C56" t="str">
            <v>Ｐ一括分</v>
          </cell>
          <cell r="F56">
            <v>19</v>
          </cell>
          <cell r="G56">
            <v>136.69999999999999</v>
          </cell>
          <cell r="H56">
            <v>133.5</v>
          </cell>
          <cell r="I56">
            <v>3.2</v>
          </cell>
          <cell r="J56">
            <v>19.399999999999999</v>
          </cell>
          <cell r="K56">
            <v>149.4</v>
          </cell>
          <cell r="L56">
            <v>145</v>
          </cell>
          <cell r="M56">
            <v>4.4000000000000004</v>
          </cell>
          <cell r="N56">
            <v>18.899999999999999</v>
          </cell>
          <cell r="O56">
            <v>132.19999999999999</v>
          </cell>
          <cell r="P56">
            <v>129.5</v>
          </cell>
          <cell r="Q56">
            <v>2.7</v>
          </cell>
        </row>
        <row r="57">
          <cell r="C57" t="str">
            <v>職業紹介・派遣業</v>
          </cell>
          <cell r="F57">
            <v>17.600000000000001</v>
          </cell>
          <cell r="G57">
            <v>141.9</v>
          </cell>
          <cell r="H57">
            <v>133.4</v>
          </cell>
          <cell r="I57">
            <v>8.5</v>
          </cell>
          <cell r="J57">
            <v>17.899999999999999</v>
          </cell>
          <cell r="K57">
            <v>156.4</v>
          </cell>
          <cell r="L57">
            <v>142.9</v>
          </cell>
          <cell r="M57">
            <v>13.5</v>
          </cell>
          <cell r="N57">
            <v>17.399999999999999</v>
          </cell>
          <cell r="O57">
            <v>130.4</v>
          </cell>
          <cell r="P57">
            <v>125.8</v>
          </cell>
          <cell r="Q57">
            <v>4.5999999999999996</v>
          </cell>
        </row>
        <row r="58">
          <cell r="C58" t="str">
            <v>その他の事業サービス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C59" t="str">
            <v>Ｒ一括分</v>
          </cell>
          <cell r="F59">
            <v>18.2</v>
          </cell>
          <cell r="G59">
            <v>132.30000000000001</v>
          </cell>
          <cell r="H59">
            <v>123.8</v>
          </cell>
          <cell r="I59">
            <v>8.5</v>
          </cell>
          <cell r="J59">
            <v>18.5</v>
          </cell>
          <cell r="K59">
            <v>149.4</v>
          </cell>
          <cell r="L59">
            <v>137.69999999999999</v>
          </cell>
          <cell r="M59">
            <v>11.7</v>
          </cell>
          <cell r="N59">
            <v>17.899999999999999</v>
          </cell>
          <cell r="O59">
            <v>112.8</v>
          </cell>
          <cell r="P59">
            <v>107.9</v>
          </cell>
          <cell r="Q59">
            <v>4.9000000000000004</v>
          </cell>
        </row>
        <row r="60">
          <cell r="C60" t="str">
            <v>特掲産業１</v>
          </cell>
          <cell r="F60" t="str">
            <v>#15.4</v>
          </cell>
          <cell r="G60" t="str">
            <v>#123.6</v>
          </cell>
          <cell r="H60" t="str">
            <v>#118.9</v>
          </cell>
          <cell r="I60" t="str">
            <v>#4.7</v>
          </cell>
          <cell r="J60" t="str">
            <v>#15.7</v>
          </cell>
          <cell r="K60" t="str">
            <v>#129</v>
          </cell>
          <cell r="L60" t="str">
            <v>#123.8</v>
          </cell>
          <cell r="M60" t="str">
            <v>#5.2</v>
          </cell>
          <cell r="N60" t="str">
            <v>#14.8</v>
          </cell>
          <cell r="O60" t="str">
            <v>#111.4</v>
          </cell>
          <cell r="P60" t="str">
            <v>#107.9</v>
          </cell>
          <cell r="Q60" t="str">
            <v>#3.5</v>
          </cell>
        </row>
        <row r="61">
          <cell r="C61" t="str">
            <v>特掲産業２</v>
          </cell>
          <cell r="F61" t="str">
            <v>#16</v>
          </cell>
          <cell r="G61" t="str">
            <v>#127.9</v>
          </cell>
          <cell r="H61" t="str">
            <v>#117.8</v>
          </cell>
          <cell r="I61" t="str">
            <v>#10.1</v>
          </cell>
          <cell r="J61" t="str">
            <v>#16.3</v>
          </cell>
          <cell r="K61" t="str">
            <v>#138.9</v>
          </cell>
          <cell r="L61" t="str">
            <v>#125.3</v>
          </cell>
          <cell r="M61" t="str">
            <v>#13.6</v>
          </cell>
          <cell r="N61" t="str">
            <v>#15.5</v>
          </cell>
          <cell r="O61" t="str">
            <v>#112.5</v>
          </cell>
          <cell r="P61" t="str">
            <v>#107.4</v>
          </cell>
          <cell r="Q61" t="str">
            <v>#5.1</v>
          </cell>
        </row>
        <row r="62">
          <cell r="C62" t="str">
            <v>特掲産業３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特掲産業４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C64" t="str">
            <v>特掲産業５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C65" t="str">
            <v>特掲積上産業１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C66" t="str">
            <v>特掲積上産業２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80">
          <cell r="C80" t="str">
            <v>調査産業計</v>
          </cell>
          <cell r="F80">
            <v>18.2</v>
          </cell>
          <cell r="G80">
            <v>139.5</v>
          </cell>
          <cell r="H80">
            <v>130.1</v>
          </cell>
          <cell r="I80">
            <v>9.4</v>
          </cell>
          <cell r="J80">
            <v>18.600000000000001</v>
          </cell>
          <cell r="K80">
            <v>152.69999999999999</v>
          </cell>
          <cell r="L80">
            <v>138.80000000000001</v>
          </cell>
          <cell r="M80">
            <v>13.9</v>
          </cell>
          <cell r="N80">
            <v>17.8</v>
          </cell>
          <cell r="O80">
            <v>126.7</v>
          </cell>
          <cell r="P80">
            <v>121.7</v>
          </cell>
          <cell r="Q80">
            <v>5</v>
          </cell>
        </row>
        <row r="81">
          <cell r="C81" t="str">
            <v>鉱業，採石業，砂利採取業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C82" t="str">
            <v>建設業</v>
          </cell>
          <cell r="F82">
            <v>19.2</v>
          </cell>
          <cell r="G82">
            <v>146.80000000000001</v>
          </cell>
          <cell r="H82">
            <v>141.5</v>
          </cell>
          <cell r="I82">
            <v>5.3</v>
          </cell>
          <cell r="J82">
            <v>19.3</v>
          </cell>
          <cell r="K82">
            <v>148.5</v>
          </cell>
          <cell r="L82">
            <v>142.6</v>
          </cell>
          <cell r="M82">
            <v>5.9</v>
          </cell>
          <cell r="N82">
            <v>18.7</v>
          </cell>
          <cell r="O82">
            <v>137.9</v>
          </cell>
          <cell r="P82">
            <v>135.6</v>
          </cell>
          <cell r="Q82">
            <v>2.2999999999999998</v>
          </cell>
        </row>
        <row r="83">
          <cell r="C83" t="str">
            <v>製造業</v>
          </cell>
          <cell r="F83">
            <v>18.100000000000001</v>
          </cell>
          <cell r="G83">
            <v>146.6</v>
          </cell>
          <cell r="H83">
            <v>134.5</v>
          </cell>
          <cell r="I83">
            <v>12.1</v>
          </cell>
          <cell r="J83">
            <v>18.600000000000001</v>
          </cell>
          <cell r="K83">
            <v>157.19999999999999</v>
          </cell>
          <cell r="L83">
            <v>140.69999999999999</v>
          </cell>
          <cell r="M83">
            <v>16.5</v>
          </cell>
          <cell r="N83">
            <v>17.5</v>
          </cell>
          <cell r="O83">
            <v>131.6</v>
          </cell>
          <cell r="P83">
            <v>125.8</v>
          </cell>
          <cell r="Q83">
            <v>5.8</v>
          </cell>
        </row>
        <row r="84">
          <cell r="C84" t="str">
            <v>電気・ガス・熱供給・水道業</v>
          </cell>
          <cell r="F84">
            <v>18.7</v>
          </cell>
          <cell r="G84">
            <v>150</v>
          </cell>
          <cell r="H84">
            <v>135.69999999999999</v>
          </cell>
          <cell r="I84">
            <v>14.3</v>
          </cell>
          <cell r="J84">
            <v>18.7</v>
          </cell>
          <cell r="K84">
            <v>152.5</v>
          </cell>
          <cell r="L84">
            <v>137</v>
          </cell>
          <cell r="M84">
            <v>15.5</v>
          </cell>
          <cell r="N84">
            <v>18.3</v>
          </cell>
          <cell r="O84">
            <v>131.80000000000001</v>
          </cell>
          <cell r="P84">
            <v>126.4</v>
          </cell>
          <cell r="Q84">
            <v>5.4</v>
          </cell>
        </row>
        <row r="85">
          <cell r="C85" t="str">
            <v>情報通信業</v>
          </cell>
          <cell r="F85">
            <v>18.399999999999999</v>
          </cell>
          <cell r="G85">
            <v>151</v>
          </cell>
          <cell r="H85">
            <v>140.1</v>
          </cell>
          <cell r="I85">
            <v>10.9</v>
          </cell>
          <cell r="J85">
            <v>18.5</v>
          </cell>
          <cell r="K85">
            <v>153.1</v>
          </cell>
          <cell r="L85">
            <v>141.5</v>
          </cell>
          <cell r="M85">
            <v>11.6</v>
          </cell>
          <cell r="N85">
            <v>18.3</v>
          </cell>
          <cell r="O85">
            <v>146.19999999999999</v>
          </cell>
          <cell r="P85">
            <v>136.80000000000001</v>
          </cell>
          <cell r="Q85">
            <v>9.4</v>
          </cell>
        </row>
        <row r="86">
          <cell r="C86" t="str">
            <v>運輸業，郵便業</v>
          </cell>
          <cell r="F86">
            <v>18.7</v>
          </cell>
          <cell r="G86">
            <v>171.1</v>
          </cell>
          <cell r="H86">
            <v>139.9</v>
          </cell>
          <cell r="I86">
            <v>31.2</v>
          </cell>
          <cell r="J86">
            <v>18.7</v>
          </cell>
          <cell r="K86">
            <v>176.5</v>
          </cell>
          <cell r="L86">
            <v>140.1</v>
          </cell>
          <cell r="M86">
            <v>36.4</v>
          </cell>
          <cell r="N86">
            <v>19.100000000000001</v>
          </cell>
          <cell r="O86">
            <v>145.80000000000001</v>
          </cell>
          <cell r="P86">
            <v>139</v>
          </cell>
          <cell r="Q86">
            <v>6.8</v>
          </cell>
        </row>
        <row r="87">
          <cell r="C87" t="str">
            <v>卸売業，小売業</v>
          </cell>
          <cell r="F87">
            <v>18</v>
          </cell>
          <cell r="G87">
            <v>133.6</v>
          </cell>
          <cell r="H87">
            <v>125.8</v>
          </cell>
          <cell r="I87">
            <v>7.8</v>
          </cell>
          <cell r="J87">
            <v>18.100000000000001</v>
          </cell>
          <cell r="K87">
            <v>149.19999999999999</v>
          </cell>
          <cell r="L87">
            <v>137.80000000000001</v>
          </cell>
          <cell r="M87">
            <v>11.4</v>
          </cell>
          <cell r="N87">
            <v>17.8</v>
          </cell>
          <cell r="O87">
            <v>115.9</v>
          </cell>
          <cell r="P87">
            <v>112.1</v>
          </cell>
          <cell r="Q87">
            <v>3.8</v>
          </cell>
        </row>
        <row r="88">
          <cell r="C88" t="str">
            <v>金融業，保険業</v>
          </cell>
          <cell r="F88">
            <v>18.399999999999999</v>
          </cell>
          <cell r="G88">
            <v>140.9</v>
          </cell>
          <cell r="H88">
            <v>135</v>
          </cell>
          <cell r="I88">
            <v>5.9</v>
          </cell>
          <cell r="J88">
            <v>18.899999999999999</v>
          </cell>
          <cell r="K88">
            <v>148.19999999999999</v>
          </cell>
          <cell r="L88">
            <v>141.1</v>
          </cell>
          <cell r="M88">
            <v>7.1</v>
          </cell>
          <cell r="N88">
            <v>17.5</v>
          </cell>
          <cell r="O88">
            <v>129.69999999999999</v>
          </cell>
          <cell r="P88">
            <v>125.6</v>
          </cell>
          <cell r="Q88">
            <v>4.0999999999999996</v>
          </cell>
        </row>
        <row r="89">
          <cell r="C89" t="str">
            <v>不動産業，物品賃貸業</v>
          </cell>
          <cell r="F89">
            <v>15.8</v>
          </cell>
          <cell r="G89">
            <v>105.5</v>
          </cell>
          <cell r="H89">
            <v>102.5</v>
          </cell>
          <cell r="I89">
            <v>3</v>
          </cell>
          <cell r="J89">
            <v>18.600000000000001</v>
          </cell>
          <cell r="K89">
            <v>144.1</v>
          </cell>
          <cell r="L89">
            <v>137.6</v>
          </cell>
          <cell r="M89">
            <v>6.5</v>
          </cell>
          <cell r="N89">
            <v>14</v>
          </cell>
          <cell r="O89">
            <v>80</v>
          </cell>
          <cell r="P89">
            <v>79.3</v>
          </cell>
          <cell r="Q89">
            <v>0.7</v>
          </cell>
        </row>
        <row r="90">
          <cell r="C90" t="str">
            <v>学術研究，専門・技術サービス業</v>
          </cell>
          <cell r="F90">
            <v>18.2</v>
          </cell>
          <cell r="G90">
            <v>146.69999999999999</v>
          </cell>
          <cell r="H90">
            <v>139.6</v>
          </cell>
          <cell r="I90">
            <v>7.1</v>
          </cell>
          <cell r="J90">
            <v>18.100000000000001</v>
          </cell>
          <cell r="K90">
            <v>150.4</v>
          </cell>
          <cell r="L90">
            <v>143.30000000000001</v>
          </cell>
          <cell r="M90">
            <v>7.1</v>
          </cell>
          <cell r="N90">
            <v>18.5</v>
          </cell>
          <cell r="O90">
            <v>139.5</v>
          </cell>
          <cell r="P90">
            <v>132.5</v>
          </cell>
          <cell r="Q90">
            <v>7</v>
          </cell>
        </row>
        <row r="91">
          <cell r="C91" t="str">
            <v>宿泊業，飲食サービス業</v>
          </cell>
          <cell r="F91">
            <v>15.3</v>
          </cell>
          <cell r="G91">
            <v>93.1</v>
          </cell>
          <cell r="H91">
            <v>88.3</v>
          </cell>
          <cell r="I91">
            <v>4.8</v>
          </cell>
          <cell r="J91">
            <v>17</v>
          </cell>
          <cell r="K91">
            <v>113</v>
          </cell>
          <cell r="L91">
            <v>104.4</v>
          </cell>
          <cell r="M91">
            <v>8.6</v>
          </cell>
          <cell r="N91">
            <v>14.4</v>
          </cell>
          <cell r="O91">
            <v>82.8</v>
          </cell>
          <cell r="P91">
            <v>79.900000000000006</v>
          </cell>
          <cell r="Q91">
            <v>2.9</v>
          </cell>
        </row>
        <row r="92">
          <cell r="C92" t="str">
            <v>生活関連サービス業，娯楽業</v>
          </cell>
          <cell r="F92">
            <v>16.899999999999999</v>
          </cell>
          <cell r="G92">
            <v>128.80000000000001</v>
          </cell>
          <cell r="H92">
            <v>124.3</v>
          </cell>
          <cell r="I92">
            <v>4.5</v>
          </cell>
          <cell r="J92">
            <v>17.2</v>
          </cell>
          <cell r="K92">
            <v>140.5</v>
          </cell>
          <cell r="L92">
            <v>134.80000000000001</v>
          </cell>
          <cell r="M92">
            <v>5.7</v>
          </cell>
          <cell r="N92">
            <v>16.600000000000001</v>
          </cell>
          <cell r="O92">
            <v>115.6</v>
          </cell>
          <cell r="P92">
            <v>112.4</v>
          </cell>
          <cell r="Q92">
            <v>3.2</v>
          </cell>
        </row>
        <row r="93">
          <cell r="C93" t="str">
            <v>教育，学習支援業</v>
          </cell>
          <cell r="F93">
            <v>18.899999999999999</v>
          </cell>
          <cell r="G93">
            <v>161.30000000000001</v>
          </cell>
          <cell r="H93">
            <v>136.4</v>
          </cell>
          <cell r="I93">
            <v>24.9</v>
          </cell>
          <cell r="J93">
            <v>19.2</v>
          </cell>
          <cell r="K93">
            <v>173.1</v>
          </cell>
          <cell r="L93">
            <v>139.9</v>
          </cell>
          <cell r="M93">
            <v>33.200000000000003</v>
          </cell>
          <cell r="N93">
            <v>18.600000000000001</v>
          </cell>
          <cell r="O93">
            <v>150.80000000000001</v>
          </cell>
          <cell r="P93">
            <v>133.19999999999999</v>
          </cell>
          <cell r="Q93">
            <v>17.600000000000001</v>
          </cell>
        </row>
        <row r="94">
          <cell r="C94" t="str">
            <v>医療，福祉</v>
          </cell>
          <cell r="F94">
            <v>18.8</v>
          </cell>
          <cell r="G94">
            <v>139.30000000000001</v>
          </cell>
          <cell r="H94">
            <v>135.6</v>
          </cell>
          <cell r="I94">
            <v>3.7</v>
          </cell>
          <cell r="J94">
            <v>19.7</v>
          </cell>
          <cell r="K94">
            <v>149.69999999999999</v>
          </cell>
          <cell r="L94">
            <v>145.19999999999999</v>
          </cell>
          <cell r="M94">
            <v>4.5</v>
          </cell>
          <cell r="N94">
            <v>18.600000000000001</v>
          </cell>
          <cell r="O94">
            <v>136.30000000000001</v>
          </cell>
          <cell r="P94">
            <v>132.80000000000001</v>
          </cell>
          <cell r="Q94">
            <v>3.5</v>
          </cell>
        </row>
        <row r="95">
          <cell r="C95" t="str">
            <v>複合サービス事業</v>
          </cell>
          <cell r="F95">
            <v>18.8</v>
          </cell>
          <cell r="G95">
            <v>150.1</v>
          </cell>
          <cell r="H95">
            <v>145.30000000000001</v>
          </cell>
          <cell r="I95">
            <v>4.8</v>
          </cell>
          <cell r="J95">
            <v>18.600000000000001</v>
          </cell>
          <cell r="K95">
            <v>151.30000000000001</v>
          </cell>
          <cell r="L95">
            <v>146.30000000000001</v>
          </cell>
          <cell r="M95">
            <v>5</v>
          </cell>
          <cell r="N95">
            <v>19.100000000000001</v>
          </cell>
          <cell r="O95">
            <v>148.30000000000001</v>
          </cell>
          <cell r="P95">
            <v>143.69999999999999</v>
          </cell>
          <cell r="Q95">
            <v>4.5999999999999996</v>
          </cell>
        </row>
        <row r="96">
          <cell r="C96" t="str">
            <v>サービス業（他に分類されないもの）</v>
          </cell>
          <cell r="F96">
            <v>18.2</v>
          </cell>
          <cell r="G96">
            <v>136</v>
          </cell>
          <cell r="H96">
            <v>128.4</v>
          </cell>
          <cell r="I96">
            <v>7.6</v>
          </cell>
          <cell r="J96">
            <v>18.600000000000001</v>
          </cell>
          <cell r="K96">
            <v>151.4</v>
          </cell>
          <cell r="L96">
            <v>140.30000000000001</v>
          </cell>
          <cell r="M96">
            <v>11.1</v>
          </cell>
          <cell r="N96">
            <v>17.8</v>
          </cell>
          <cell r="O96">
            <v>120.9</v>
          </cell>
          <cell r="P96">
            <v>116.6</v>
          </cell>
          <cell r="Q96">
            <v>4.3</v>
          </cell>
        </row>
        <row r="97">
          <cell r="C97" t="str">
            <v>食料品・たばこ</v>
          </cell>
          <cell r="F97">
            <v>17.8</v>
          </cell>
          <cell r="G97">
            <v>137.6</v>
          </cell>
          <cell r="H97">
            <v>128.69999999999999</v>
          </cell>
          <cell r="I97">
            <v>8.9</v>
          </cell>
          <cell r="J97">
            <v>18.7</v>
          </cell>
          <cell r="K97">
            <v>155.1</v>
          </cell>
          <cell r="L97">
            <v>141.30000000000001</v>
          </cell>
          <cell r="M97">
            <v>13.8</v>
          </cell>
          <cell r="N97">
            <v>17.2</v>
          </cell>
          <cell r="O97">
            <v>125.3</v>
          </cell>
          <cell r="P97">
            <v>119.9</v>
          </cell>
          <cell r="Q97">
            <v>5.4</v>
          </cell>
        </row>
        <row r="98">
          <cell r="C98" t="str">
            <v>繊維工業</v>
          </cell>
          <cell r="F98">
            <v>18.3</v>
          </cell>
          <cell r="G98">
            <v>146.80000000000001</v>
          </cell>
          <cell r="H98">
            <v>136.19999999999999</v>
          </cell>
          <cell r="I98">
            <v>10.6</v>
          </cell>
          <cell r="J98">
            <v>19</v>
          </cell>
          <cell r="K98">
            <v>155.69999999999999</v>
          </cell>
          <cell r="L98">
            <v>142</v>
          </cell>
          <cell r="M98">
            <v>13.7</v>
          </cell>
          <cell r="N98">
            <v>17.8</v>
          </cell>
          <cell r="O98">
            <v>141.6</v>
          </cell>
          <cell r="P98">
            <v>132.80000000000001</v>
          </cell>
          <cell r="Q98">
            <v>8.8000000000000007</v>
          </cell>
        </row>
        <row r="99">
          <cell r="C99" t="str">
            <v>木材・木製品</v>
          </cell>
          <cell r="F99">
            <v>17.600000000000001</v>
          </cell>
          <cell r="G99">
            <v>140.5</v>
          </cell>
          <cell r="H99">
            <v>130.19999999999999</v>
          </cell>
          <cell r="I99">
            <v>10.3</v>
          </cell>
          <cell r="J99">
            <v>17.3</v>
          </cell>
          <cell r="K99">
            <v>144</v>
          </cell>
          <cell r="L99">
            <v>130.30000000000001</v>
          </cell>
          <cell r="M99">
            <v>13.7</v>
          </cell>
          <cell r="N99">
            <v>18.3</v>
          </cell>
          <cell r="O99">
            <v>133.19999999999999</v>
          </cell>
          <cell r="P99">
            <v>129.9</v>
          </cell>
          <cell r="Q99">
            <v>3.3</v>
          </cell>
        </row>
        <row r="100">
          <cell r="C100" t="str">
            <v>家具・装備品</v>
          </cell>
          <cell r="F100" t="str">
            <v>#17.3</v>
          </cell>
          <cell r="G100" t="str">
            <v>#129.8</v>
          </cell>
          <cell r="H100" t="str">
            <v>#129.8</v>
          </cell>
          <cell r="I100" t="str">
            <v>#0</v>
          </cell>
          <cell r="J100" t="str">
            <v>#18.7</v>
          </cell>
          <cell r="K100" t="str">
            <v>#145.1</v>
          </cell>
          <cell r="L100" t="str">
            <v>#145.1</v>
          </cell>
          <cell r="M100" t="str">
            <v>#0</v>
          </cell>
          <cell r="N100" t="str">
            <v>#14</v>
          </cell>
          <cell r="O100" t="str">
            <v>#93.8</v>
          </cell>
          <cell r="P100" t="str">
            <v>#93.8</v>
          </cell>
          <cell r="Q100" t="str">
            <v>#0</v>
          </cell>
        </row>
        <row r="101">
          <cell r="C101" t="str">
            <v>パルプ・紙</v>
          </cell>
          <cell r="F101">
            <v>21.5</v>
          </cell>
          <cell r="G101">
            <v>165.6</v>
          </cell>
          <cell r="H101">
            <v>156.4</v>
          </cell>
          <cell r="I101">
            <v>9.1999999999999993</v>
          </cell>
          <cell r="J101">
            <v>21.8</v>
          </cell>
          <cell r="K101">
            <v>170</v>
          </cell>
          <cell r="L101">
            <v>158.19999999999999</v>
          </cell>
          <cell r="M101">
            <v>11.8</v>
          </cell>
          <cell r="N101">
            <v>20.5</v>
          </cell>
          <cell r="O101">
            <v>151.30000000000001</v>
          </cell>
          <cell r="P101">
            <v>150.5</v>
          </cell>
          <cell r="Q101">
            <v>0.8</v>
          </cell>
        </row>
        <row r="102">
          <cell r="C102" t="str">
            <v>印刷・同関連業</v>
          </cell>
          <cell r="F102">
            <v>20.6</v>
          </cell>
          <cell r="G102">
            <v>165.2</v>
          </cell>
          <cell r="H102">
            <v>156.5</v>
          </cell>
          <cell r="I102">
            <v>8.6999999999999993</v>
          </cell>
          <cell r="J102">
            <v>20.5</v>
          </cell>
          <cell r="K102">
            <v>167.4</v>
          </cell>
          <cell r="L102">
            <v>157.4</v>
          </cell>
          <cell r="M102">
            <v>10</v>
          </cell>
          <cell r="N102">
            <v>20.9</v>
          </cell>
          <cell r="O102">
            <v>159.4</v>
          </cell>
          <cell r="P102">
            <v>153.9</v>
          </cell>
          <cell r="Q102">
            <v>5.5</v>
          </cell>
        </row>
        <row r="103">
          <cell r="C103" t="str">
            <v>化学、石油・石炭</v>
          </cell>
          <cell r="F103">
            <v>18.399999999999999</v>
          </cell>
          <cell r="G103">
            <v>150.5</v>
          </cell>
          <cell r="H103">
            <v>133.5</v>
          </cell>
          <cell r="I103">
            <v>17</v>
          </cell>
          <cell r="J103">
            <v>18.399999999999999</v>
          </cell>
          <cell r="K103">
            <v>151.5</v>
          </cell>
          <cell r="L103">
            <v>133.6</v>
          </cell>
          <cell r="M103">
            <v>17.899999999999999</v>
          </cell>
          <cell r="N103">
            <v>17.600000000000001</v>
          </cell>
          <cell r="O103">
            <v>136.9</v>
          </cell>
          <cell r="P103">
            <v>131.1</v>
          </cell>
          <cell r="Q103">
            <v>5.8</v>
          </cell>
        </row>
        <row r="104">
          <cell r="C104" t="str">
            <v>プラスチック製品</v>
          </cell>
          <cell r="F104">
            <v>19.100000000000001</v>
          </cell>
          <cell r="G104">
            <v>148.1</v>
          </cell>
          <cell r="H104">
            <v>138.9</v>
          </cell>
          <cell r="I104">
            <v>9.1999999999999993</v>
          </cell>
          <cell r="J104">
            <v>19.399999999999999</v>
          </cell>
          <cell r="K104">
            <v>157.4</v>
          </cell>
          <cell r="L104">
            <v>145.19999999999999</v>
          </cell>
          <cell r="M104">
            <v>12.2</v>
          </cell>
          <cell r="N104">
            <v>18.399999999999999</v>
          </cell>
          <cell r="O104">
            <v>123.9</v>
          </cell>
          <cell r="P104">
            <v>122.5</v>
          </cell>
          <cell r="Q104">
            <v>1.4</v>
          </cell>
        </row>
        <row r="105">
          <cell r="C105" t="str">
            <v>ゴム製品</v>
          </cell>
          <cell r="F105">
            <v>18.7</v>
          </cell>
          <cell r="G105">
            <v>159</v>
          </cell>
          <cell r="H105">
            <v>137.69999999999999</v>
          </cell>
          <cell r="I105">
            <v>21.3</v>
          </cell>
          <cell r="J105">
            <v>18.899999999999999</v>
          </cell>
          <cell r="K105">
            <v>161.4</v>
          </cell>
          <cell r="L105">
            <v>138</v>
          </cell>
          <cell r="M105">
            <v>23.4</v>
          </cell>
          <cell r="N105">
            <v>17.8</v>
          </cell>
          <cell r="O105">
            <v>143</v>
          </cell>
          <cell r="P105">
            <v>135.80000000000001</v>
          </cell>
          <cell r="Q105">
            <v>7.2</v>
          </cell>
        </row>
        <row r="106">
          <cell r="C106" t="str">
            <v>窯業・土石製品</v>
          </cell>
          <cell r="F106">
            <v>17.7</v>
          </cell>
          <cell r="G106">
            <v>147</v>
          </cell>
          <cell r="H106">
            <v>137.30000000000001</v>
          </cell>
          <cell r="I106">
            <v>9.6999999999999993</v>
          </cell>
          <cell r="J106">
            <v>17.7</v>
          </cell>
          <cell r="K106">
            <v>150.30000000000001</v>
          </cell>
          <cell r="L106">
            <v>137.9</v>
          </cell>
          <cell r="M106">
            <v>12.4</v>
          </cell>
          <cell r="N106">
            <v>17.7</v>
          </cell>
          <cell r="O106">
            <v>136.19999999999999</v>
          </cell>
          <cell r="P106">
            <v>135.5</v>
          </cell>
          <cell r="Q106">
            <v>0.7</v>
          </cell>
        </row>
        <row r="107">
          <cell r="C107" t="str">
            <v>鉄鋼業</v>
          </cell>
          <cell r="F107">
            <v>19.3</v>
          </cell>
          <cell r="G107">
            <v>171.6</v>
          </cell>
          <cell r="H107">
            <v>149.9</v>
          </cell>
          <cell r="I107">
            <v>21.7</v>
          </cell>
          <cell r="J107">
            <v>19.100000000000001</v>
          </cell>
          <cell r="K107">
            <v>174.5</v>
          </cell>
          <cell r="L107">
            <v>149.9</v>
          </cell>
          <cell r="M107">
            <v>24.6</v>
          </cell>
          <cell r="N107">
            <v>20.2</v>
          </cell>
          <cell r="O107">
            <v>159</v>
          </cell>
          <cell r="P107">
            <v>149.69999999999999</v>
          </cell>
          <cell r="Q107">
            <v>9.3000000000000007</v>
          </cell>
        </row>
        <row r="108">
          <cell r="C108" t="str">
            <v>非鉄金属製造業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  <cell r="Q108" t="str">
            <v>-</v>
          </cell>
        </row>
        <row r="109">
          <cell r="C109" t="str">
            <v>金属製品製造業</v>
          </cell>
          <cell r="F109">
            <v>19.2</v>
          </cell>
          <cell r="G109">
            <v>152.9</v>
          </cell>
          <cell r="H109">
            <v>141.5</v>
          </cell>
          <cell r="I109">
            <v>11.4</v>
          </cell>
          <cell r="J109">
            <v>18.899999999999999</v>
          </cell>
          <cell r="K109">
            <v>158.5</v>
          </cell>
          <cell r="L109">
            <v>143.80000000000001</v>
          </cell>
          <cell r="M109">
            <v>14.7</v>
          </cell>
          <cell r="N109">
            <v>20</v>
          </cell>
          <cell r="O109">
            <v>142</v>
          </cell>
          <cell r="P109">
            <v>137</v>
          </cell>
          <cell r="Q109">
            <v>5</v>
          </cell>
        </row>
        <row r="110">
          <cell r="C110" t="str">
            <v>はん用機械器具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C111" t="str">
            <v>生産用機械器具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C112" t="str">
            <v>業務用機械器具</v>
          </cell>
          <cell r="F112">
            <v>16.600000000000001</v>
          </cell>
          <cell r="G112">
            <v>140.6</v>
          </cell>
          <cell r="H112">
            <v>130.5</v>
          </cell>
          <cell r="I112">
            <v>10.1</v>
          </cell>
          <cell r="J112">
            <v>17</v>
          </cell>
          <cell r="K112">
            <v>144.6</v>
          </cell>
          <cell r="L112">
            <v>132.1</v>
          </cell>
          <cell r="M112">
            <v>12.5</v>
          </cell>
          <cell r="N112">
            <v>16.3</v>
          </cell>
          <cell r="O112">
            <v>136.9</v>
          </cell>
          <cell r="P112">
            <v>129.1</v>
          </cell>
          <cell r="Q112">
            <v>7.8</v>
          </cell>
        </row>
        <row r="113">
          <cell r="C113" t="str">
            <v>電子・デバイス</v>
          </cell>
          <cell r="F113">
            <v>17.7</v>
          </cell>
          <cell r="G113">
            <v>149.9</v>
          </cell>
          <cell r="H113">
            <v>138.1</v>
          </cell>
          <cell r="I113">
            <v>11.8</v>
          </cell>
          <cell r="J113">
            <v>18.100000000000001</v>
          </cell>
          <cell r="K113">
            <v>159</v>
          </cell>
          <cell r="L113">
            <v>143.9</v>
          </cell>
          <cell r="M113">
            <v>15.1</v>
          </cell>
          <cell r="N113">
            <v>17</v>
          </cell>
          <cell r="O113">
            <v>132.4</v>
          </cell>
          <cell r="P113">
            <v>127</v>
          </cell>
          <cell r="Q113">
            <v>5.4</v>
          </cell>
        </row>
        <row r="114">
          <cell r="C114" t="str">
            <v>電気機械器具</v>
          </cell>
          <cell r="F114">
            <v>17.100000000000001</v>
          </cell>
          <cell r="G114">
            <v>136.80000000000001</v>
          </cell>
          <cell r="H114">
            <v>130.9</v>
          </cell>
          <cell r="I114">
            <v>5.9</v>
          </cell>
          <cell r="J114">
            <v>17.7</v>
          </cell>
          <cell r="K114">
            <v>145.1</v>
          </cell>
          <cell r="L114">
            <v>137.19999999999999</v>
          </cell>
          <cell r="M114">
            <v>7.9</v>
          </cell>
          <cell r="N114">
            <v>15.8</v>
          </cell>
          <cell r="O114">
            <v>119.8</v>
          </cell>
          <cell r="P114">
            <v>118</v>
          </cell>
          <cell r="Q114">
            <v>1.8</v>
          </cell>
        </row>
        <row r="115">
          <cell r="C115" t="str">
            <v>情報通信機械器具</v>
          </cell>
          <cell r="F115">
            <v>16.8</v>
          </cell>
          <cell r="G115">
            <v>146.6</v>
          </cell>
          <cell r="H115">
            <v>135.19999999999999</v>
          </cell>
          <cell r="I115">
            <v>11.4</v>
          </cell>
          <cell r="J115">
            <v>17.100000000000001</v>
          </cell>
          <cell r="K115">
            <v>151.19999999999999</v>
          </cell>
          <cell r="L115">
            <v>137.19999999999999</v>
          </cell>
          <cell r="M115">
            <v>14</v>
          </cell>
          <cell r="N115">
            <v>16.5</v>
          </cell>
          <cell r="O115">
            <v>141.69999999999999</v>
          </cell>
          <cell r="P115">
            <v>133.1</v>
          </cell>
          <cell r="Q115">
            <v>8.6</v>
          </cell>
        </row>
        <row r="116">
          <cell r="C116" t="str">
            <v>輸送用機械器具</v>
          </cell>
          <cell r="F116">
            <v>16.399999999999999</v>
          </cell>
          <cell r="G116">
            <v>152.80000000000001</v>
          </cell>
          <cell r="H116">
            <v>132.4</v>
          </cell>
          <cell r="I116">
            <v>20.399999999999999</v>
          </cell>
          <cell r="J116">
            <v>16.399999999999999</v>
          </cell>
          <cell r="K116">
            <v>155</v>
          </cell>
          <cell r="L116">
            <v>133.1</v>
          </cell>
          <cell r="M116">
            <v>21.9</v>
          </cell>
          <cell r="N116">
            <v>16.5</v>
          </cell>
          <cell r="O116">
            <v>143.4</v>
          </cell>
          <cell r="P116">
            <v>129.6</v>
          </cell>
          <cell r="Q116">
            <v>13.8</v>
          </cell>
        </row>
        <row r="117">
          <cell r="C117" t="str">
            <v>その他の製造業</v>
          </cell>
          <cell r="F117">
            <v>17</v>
          </cell>
          <cell r="G117">
            <v>137.69999999999999</v>
          </cell>
          <cell r="H117">
            <v>130.19999999999999</v>
          </cell>
          <cell r="I117">
            <v>7.5</v>
          </cell>
          <cell r="J117">
            <v>17.399999999999999</v>
          </cell>
          <cell r="K117">
            <v>143.6</v>
          </cell>
          <cell r="L117">
            <v>134.80000000000001</v>
          </cell>
          <cell r="M117">
            <v>8.8000000000000007</v>
          </cell>
          <cell r="N117">
            <v>15.8</v>
          </cell>
          <cell r="O117">
            <v>116.4</v>
          </cell>
          <cell r="P117">
            <v>113.6</v>
          </cell>
          <cell r="Q117">
            <v>2.8</v>
          </cell>
        </row>
        <row r="118">
          <cell r="C118" t="str">
            <v>Ｅ一括分１</v>
          </cell>
          <cell r="F118">
            <v>20.399999999999999</v>
          </cell>
          <cell r="G118">
            <v>182.9</v>
          </cell>
          <cell r="H118">
            <v>151.9</v>
          </cell>
          <cell r="I118">
            <v>31</v>
          </cell>
          <cell r="J118">
            <v>21.1</v>
          </cell>
          <cell r="K118">
            <v>190</v>
          </cell>
          <cell r="L118">
            <v>152.80000000000001</v>
          </cell>
          <cell r="M118">
            <v>37.200000000000003</v>
          </cell>
          <cell r="N118">
            <v>17.8</v>
          </cell>
          <cell r="O118">
            <v>158.30000000000001</v>
          </cell>
          <cell r="P118">
            <v>149</v>
          </cell>
          <cell r="Q118">
            <v>9.3000000000000007</v>
          </cell>
        </row>
        <row r="119">
          <cell r="C119" t="str">
            <v>Ｅ一括分２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C120" t="str">
            <v>Ｅ一括分３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C121" t="str">
            <v>卸売業</v>
          </cell>
          <cell r="F121">
            <v>20.100000000000001</v>
          </cell>
          <cell r="G121">
            <v>167.5</v>
          </cell>
          <cell r="H121">
            <v>156.80000000000001</v>
          </cell>
          <cell r="I121">
            <v>10.7</v>
          </cell>
          <cell r="J121">
            <v>20</v>
          </cell>
          <cell r="K121">
            <v>171.8</v>
          </cell>
          <cell r="L121">
            <v>159.9</v>
          </cell>
          <cell r="M121">
            <v>11.9</v>
          </cell>
          <cell r="N121">
            <v>20.3</v>
          </cell>
          <cell r="O121">
            <v>150.80000000000001</v>
          </cell>
          <cell r="P121">
            <v>144.80000000000001</v>
          </cell>
          <cell r="Q121">
            <v>6</v>
          </cell>
        </row>
        <row r="122">
          <cell r="C122" t="str">
            <v>小売業</v>
          </cell>
          <cell r="F122">
            <v>17.3</v>
          </cell>
          <cell r="G122">
            <v>122.6</v>
          </cell>
          <cell r="H122">
            <v>115.7</v>
          </cell>
          <cell r="I122">
            <v>6.9</v>
          </cell>
          <cell r="J122">
            <v>17.100000000000001</v>
          </cell>
          <cell r="K122">
            <v>136.1</v>
          </cell>
          <cell r="L122">
            <v>125.1</v>
          </cell>
          <cell r="M122">
            <v>11</v>
          </cell>
          <cell r="N122">
            <v>17.5</v>
          </cell>
          <cell r="O122">
            <v>111.7</v>
          </cell>
          <cell r="P122">
            <v>108.2</v>
          </cell>
          <cell r="Q122">
            <v>3.5</v>
          </cell>
        </row>
        <row r="123">
          <cell r="C123" t="str">
            <v>宿泊業</v>
          </cell>
          <cell r="F123">
            <v>18.8</v>
          </cell>
          <cell r="G123">
            <v>123.5</v>
          </cell>
          <cell r="H123">
            <v>114.7</v>
          </cell>
          <cell r="I123">
            <v>8.8000000000000007</v>
          </cell>
          <cell r="J123">
            <v>19.600000000000001</v>
          </cell>
          <cell r="K123">
            <v>147</v>
          </cell>
          <cell r="L123">
            <v>133.69999999999999</v>
          </cell>
          <cell r="M123">
            <v>13.3</v>
          </cell>
          <cell r="N123">
            <v>18.399999999999999</v>
          </cell>
          <cell r="O123">
            <v>112.7</v>
          </cell>
          <cell r="P123">
            <v>105.9</v>
          </cell>
          <cell r="Q123">
            <v>6.8</v>
          </cell>
        </row>
        <row r="124">
          <cell r="C124" t="str">
            <v>Ｍ一括分</v>
          </cell>
          <cell r="F124">
            <v>14.7</v>
          </cell>
          <cell r="G124">
            <v>87.7</v>
          </cell>
          <cell r="H124">
            <v>83.6</v>
          </cell>
          <cell r="I124">
            <v>4.0999999999999996</v>
          </cell>
          <cell r="J124">
            <v>16.600000000000001</v>
          </cell>
          <cell r="K124">
            <v>107.5</v>
          </cell>
          <cell r="L124">
            <v>99.7</v>
          </cell>
          <cell r="M124">
            <v>7.8</v>
          </cell>
          <cell r="N124">
            <v>13.6</v>
          </cell>
          <cell r="O124">
            <v>77.3</v>
          </cell>
          <cell r="P124">
            <v>75.099999999999994</v>
          </cell>
          <cell r="Q124">
            <v>2.2000000000000002</v>
          </cell>
        </row>
        <row r="125">
          <cell r="C125" t="str">
            <v>医療業</v>
          </cell>
          <cell r="F125">
            <v>19</v>
          </cell>
          <cell r="G125">
            <v>143</v>
          </cell>
          <cell r="H125">
            <v>138.19999999999999</v>
          </cell>
          <cell r="I125">
            <v>4.8</v>
          </cell>
          <cell r="J125">
            <v>19.7</v>
          </cell>
          <cell r="K125">
            <v>150.5</v>
          </cell>
          <cell r="L125">
            <v>143.9</v>
          </cell>
          <cell r="M125">
            <v>6.6</v>
          </cell>
          <cell r="N125">
            <v>18.8</v>
          </cell>
          <cell r="O125">
            <v>140.9</v>
          </cell>
          <cell r="P125">
            <v>136.6</v>
          </cell>
          <cell r="Q125">
            <v>4.3</v>
          </cell>
        </row>
        <row r="126">
          <cell r="C126" t="str">
            <v>Ｐ一括分</v>
          </cell>
          <cell r="F126">
            <v>18.7</v>
          </cell>
          <cell r="G126">
            <v>136.1</v>
          </cell>
          <cell r="H126">
            <v>133.4</v>
          </cell>
          <cell r="I126">
            <v>2.7</v>
          </cell>
          <cell r="J126">
            <v>19.8</v>
          </cell>
          <cell r="K126">
            <v>149</v>
          </cell>
          <cell r="L126">
            <v>146.1</v>
          </cell>
          <cell r="M126">
            <v>2.9</v>
          </cell>
          <cell r="N126">
            <v>18.3</v>
          </cell>
          <cell r="O126">
            <v>132</v>
          </cell>
          <cell r="P126">
            <v>129.30000000000001</v>
          </cell>
          <cell r="Q126">
            <v>2.7</v>
          </cell>
        </row>
        <row r="127">
          <cell r="C127" t="str">
            <v>職業紹介・派遣業</v>
          </cell>
          <cell r="F127">
            <v>17.8</v>
          </cell>
          <cell r="G127">
            <v>143.30000000000001</v>
          </cell>
          <cell r="H127">
            <v>134.69999999999999</v>
          </cell>
          <cell r="I127">
            <v>8.6</v>
          </cell>
          <cell r="J127">
            <v>18.100000000000001</v>
          </cell>
          <cell r="K127">
            <v>155.69999999999999</v>
          </cell>
          <cell r="L127">
            <v>143.1</v>
          </cell>
          <cell r="M127">
            <v>12.6</v>
          </cell>
          <cell r="N127">
            <v>17.600000000000001</v>
          </cell>
          <cell r="O127">
            <v>132.80000000000001</v>
          </cell>
          <cell r="P127">
            <v>127.5</v>
          </cell>
          <cell r="Q127">
            <v>5.3</v>
          </cell>
        </row>
        <row r="128">
          <cell r="C128" t="str">
            <v>その他の事業サービス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C129" t="str">
            <v>Ｒ一括分</v>
          </cell>
          <cell r="F129">
            <v>18.3</v>
          </cell>
          <cell r="G129">
            <v>134.69999999999999</v>
          </cell>
          <cell r="H129">
            <v>127.2</v>
          </cell>
          <cell r="I129">
            <v>7.5</v>
          </cell>
          <cell r="J129">
            <v>18.7</v>
          </cell>
          <cell r="K129">
            <v>150.6</v>
          </cell>
          <cell r="L129">
            <v>139.80000000000001</v>
          </cell>
          <cell r="M129">
            <v>10.8</v>
          </cell>
          <cell r="N129">
            <v>17.8</v>
          </cell>
          <cell r="O129">
            <v>118.5</v>
          </cell>
          <cell r="P129">
            <v>114.4</v>
          </cell>
          <cell r="Q129">
            <v>4.0999999999999996</v>
          </cell>
        </row>
        <row r="130">
          <cell r="C130" t="str">
            <v>特掲産業１</v>
          </cell>
          <cell r="F130">
            <v>15.7</v>
          </cell>
          <cell r="G130">
            <v>117.9</v>
          </cell>
          <cell r="H130">
            <v>113.7</v>
          </cell>
          <cell r="I130">
            <v>4.2</v>
          </cell>
          <cell r="J130">
            <v>17.899999999999999</v>
          </cell>
          <cell r="K130">
            <v>140</v>
          </cell>
          <cell r="L130">
            <v>133.9</v>
          </cell>
          <cell r="M130">
            <v>6.1</v>
          </cell>
          <cell r="N130">
            <v>14</v>
          </cell>
          <cell r="O130">
            <v>100.4</v>
          </cell>
          <cell r="P130">
            <v>97.6</v>
          </cell>
          <cell r="Q130">
            <v>2.8</v>
          </cell>
        </row>
        <row r="131">
          <cell r="C131" t="str">
            <v>特掲産業２</v>
          </cell>
          <cell r="F131">
            <v>17.7</v>
          </cell>
          <cell r="G131">
            <v>138.6</v>
          </cell>
          <cell r="H131">
            <v>128.30000000000001</v>
          </cell>
          <cell r="I131">
            <v>10.3</v>
          </cell>
          <cell r="J131">
            <v>16.899999999999999</v>
          </cell>
          <cell r="K131">
            <v>136.4</v>
          </cell>
          <cell r="L131">
            <v>122.6</v>
          </cell>
          <cell r="M131">
            <v>13.8</v>
          </cell>
          <cell r="N131">
            <v>19.7</v>
          </cell>
          <cell r="O131">
            <v>144.69999999999999</v>
          </cell>
          <cell r="P131">
            <v>143.6</v>
          </cell>
          <cell r="Q131">
            <v>1.1000000000000001</v>
          </cell>
        </row>
        <row r="132">
          <cell r="C132" t="str">
            <v>特掲産業３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C133" t="str">
            <v>特掲産業４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C134" t="str">
            <v>特掲産業５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C135" t="str">
            <v>特掲積上産業１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C136" t="str">
            <v>特掲積上産業２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</row>
      </sheetData>
      <sheetData sheetId="21"/>
      <sheetData sheetId="22"/>
      <sheetData sheetId="23"/>
      <sheetData sheetId="24">
        <row r="7">
          <cell r="C7">
            <v>1.8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8B73-B824-4732-9A68-0654F7B9DF57}">
  <sheetPr codeName="Sheet1"/>
  <dimension ref="A1:R78"/>
  <sheetViews>
    <sheetView showGridLines="0" view="pageBreakPreview" topLeftCell="A16" zoomScale="80" zoomScaleNormal="80" zoomScaleSheetLayoutView="80" workbookViewId="0">
      <selection activeCell="D71" sqref="D71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3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（"&amp;[1]設定!D8&amp;DBCS([1]設定!E8)&amp;"年"&amp;DBCS([1]設定!F8)&amp;"月）"</f>
        <v>　　    （令和５年１月）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+[2]第５表!B9</f>
        <v>TL</v>
      </c>
      <c r="C9" s="46"/>
      <c r="D9" s="47" t="str">
        <f>+[2]第５表!D9</f>
        <v>調査産業計</v>
      </c>
      <c r="E9" s="48">
        <f>IF($D9="","",IF([1]設定!$H23="",INDEX([1]第３表!$F$80:$Q$136,MATCH([1]設定!$D23,[1]第３表!$C$80:$C$136,0),1),[1]設定!$H23))</f>
        <v>17.5</v>
      </c>
      <c r="F9" s="48">
        <f>IF($D9="","",IF([1]設定!$H23="",INDEX([1]第３表!$F$80:$Q$136,MATCH([1]設定!$D23,[1]第３表!$C$80:$C$136,0),2),[1]設定!$H23))</f>
        <v>133.6</v>
      </c>
      <c r="G9" s="48">
        <f>IF($D9="","",IF([1]設定!$H23="",INDEX([1]第３表!$F$80:$Q$136,MATCH([1]設定!$D23,[1]第３表!$C$80:$C$136,0),3),[1]設定!$H23))</f>
        <v>124.5</v>
      </c>
      <c r="H9" s="48">
        <f>IF($D9="","",IF([1]設定!$H23="",INDEX([1]第３表!$F$80:$Q$136,MATCH([1]設定!$D23,[1]第３表!$C$80:$C$136,0),4),[1]設定!$H23))</f>
        <v>9.1</v>
      </c>
      <c r="I9" s="48">
        <f>IF($D9="","",IF([1]設定!$H23="",INDEX([1]第３表!$F$80:$Q$136,MATCH([1]設定!$D23,[1]第３表!$C$80:$C$136,0),5),[1]設定!$H23))</f>
        <v>18</v>
      </c>
      <c r="J9" s="48">
        <f>IF($D9="","",IF([1]設定!$H23="",INDEX([1]第３表!$F$80:$Q$136,MATCH([1]設定!$D23,[1]第３表!$C$80:$C$136,0),6),[1]設定!$H23))</f>
        <v>146.1</v>
      </c>
      <c r="K9" s="48">
        <f>IF($D9="","",IF([1]設定!$H23="",INDEX([1]第３表!$F$80:$Q$136,MATCH([1]設定!$D23,[1]第３表!$C$80:$C$136,0),7),[1]設定!$H23))</f>
        <v>133</v>
      </c>
      <c r="L9" s="48">
        <f>IF($D9="","",IF([1]設定!$H23="",INDEX([1]第３表!$F$80:$Q$136,MATCH([1]設定!$D23,[1]第３表!$C$80:$C$136,0),8),[1]設定!$H23))</f>
        <v>13.1</v>
      </c>
      <c r="M9" s="48">
        <f>IF($D9="","",IF([1]設定!$H23="",INDEX([1]第３表!$F$80:$Q$136,MATCH([1]設定!$D23,[1]第３表!$C$80:$C$136,0),9),[1]設定!$H23))</f>
        <v>17</v>
      </c>
      <c r="N9" s="48">
        <f>IF($D9="","",IF([1]設定!$H23="",INDEX([1]第３表!$F$80:$Q$136,MATCH([1]設定!$D23,[1]第３表!$C$80:$C$136,0),10),[1]設定!$H23))</f>
        <v>121.9</v>
      </c>
      <c r="O9" s="48">
        <f>IF($D9="","",IF([1]設定!$H23="",INDEX([1]第３表!$F$80:$Q$136,MATCH([1]設定!$D23,[1]第３表!$C$80:$C$136,0),11),[1]設定!$H23))</f>
        <v>116.5</v>
      </c>
      <c r="P9" s="48">
        <f>IF($D9="","",IF([1]設定!$H23="",INDEX([1]第３表!$F$80:$Q$136,MATCH([1]設定!$D23,[1]第３表!$C$80:$C$136,0),12),[1]設定!$H23))</f>
        <v>5.4</v>
      </c>
    </row>
    <row r="10" spans="1:18" s="8" customFormat="1" ht="17.25" customHeight="1" x14ac:dyDescent="0.45">
      <c r="B10" s="49" t="str">
        <f>+[2]第５表!B10</f>
        <v>D</v>
      </c>
      <c r="C10" s="50"/>
      <c r="D10" s="51" t="str">
        <f>+[2]第５表!D10</f>
        <v>建設業</v>
      </c>
      <c r="E10" s="52">
        <f>IF($D10="","",IF([1]設定!$H24="",INDEX([1]第３表!$F$80:$Q$136,MATCH([1]設定!$D24,[1]第３表!$C$80:$C$136,0),1),[1]設定!$H24))</f>
        <v>18.5</v>
      </c>
      <c r="F10" s="52">
        <f>IF($D10="","",IF([1]設定!$H24="",INDEX([1]第３表!$F$80:$Q$136,MATCH([1]設定!$D24,[1]第３表!$C$80:$C$136,0),2),[1]設定!$H24))</f>
        <v>147.1</v>
      </c>
      <c r="G10" s="52">
        <f>IF($D10="","",IF([1]設定!$H24="",INDEX([1]第３表!$F$80:$Q$136,MATCH([1]設定!$D24,[1]第３表!$C$80:$C$136,0),3),[1]設定!$H24))</f>
        <v>136</v>
      </c>
      <c r="H10" s="53">
        <f>IF($D10="","",IF([1]設定!$H24="",INDEX([1]第３表!$F$80:$Q$136,MATCH([1]設定!$D24,[1]第３表!$C$80:$C$136,0),4),[1]設定!$H24))</f>
        <v>11.1</v>
      </c>
      <c r="I10" s="54">
        <f>IF($D10="","",IF([1]設定!$H24="",INDEX([1]第３表!$F$80:$Q$136,MATCH([1]設定!$D24,[1]第３表!$C$80:$C$136,0),5),[1]設定!$H24))</f>
        <v>18.5</v>
      </c>
      <c r="J10" s="54">
        <f>IF($D10="","",IF([1]設定!$H24="",INDEX([1]第３表!$F$80:$Q$136,MATCH([1]設定!$D24,[1]第３表!$C$80:$C$136,0),6),[1]設定!$H24))</f>
        <v>150.4</v>
      </c>
      <c r="K10" s="54">
        <f>IF($D10="","",IF([1]設定!$H24="",INDEX([1]第３表!$F$80:$Q$136,MATCH([1]設定!$D24,[1]第３表!$C$80:$C$136,0),7),[1]設定!$H24))</f>
        <v>137.9</v>
      </c>
      <c r="L10" s="55">
        <f>IF($D10="","",IF([1]設定!$H24="",INDEX([1]第３表!$F$80:$Q$136,MATCH([1]設定!$D24,[1]第３表!$C$80:$C$136,0),8),[1]設定!$H24))</f>
        <v>12.5</v>
      </c>
      <c r="M10" s="56">
        <f>IF($D10="","",IF([1]設定!$H24="",INDEX([1]第３表!$F$80:$Q$136,MATCH([1]設定!$D24,[1]第３表!$C$80:$C$136,0),9),[1]設定!$H24))</f>
        <v>18.399999999999999</v>
      </c>
      <c r="N10" s="56">
        <f>IF($D10="","",IF([1]設定!$H24="",INDEX([1]第３表!$F$80:$Q$136,MATCH([1]設定!$D24,[1]第３表!$C$80:$C$136,0),10),[1]設定!$H24))</f>
        <v>129.69999999999999</v>
      </c>
      <c r="O10" s="56">
        <f>IF($D10="","",IF([1]設定!$H24="",INDEX([1]第３表!$F$80:$Q$136,MATCH([1]設定!$D24,[1]第３表!$C$80:$C$136,0),11),[1]設定!$H24))</f>
        <v>125.9</v>
      </c>
      <c r="P10" s="57">
        <f>IF($D10="","",IF([1]設定!$H24="",INDEX([1]第３表!$F$80:$Q$136,MATCH([1]設定!$D24,[1]第３表!$C$80:$C$136,0),12),[1]設定!$H24))</f>
        <v>3.8</v>
      </c>
    </row>
    <row r="11" spans="1:18" s="8" customFormat="1" ht="17.25" customHeight="1" x14ac:dyDescent="0.45">
      <c r="B11" s="49" t="str">
        <f>+[2]第５表!B11</f>
        <v>E</v>
      </c>
      <c r="C11" s="50"/>
      <c r="D11" s="51" t="str">
        <f>+[2]第５表!D11</f>
        <v>製造業</v>
      </c>
      <c r="E11" s="52">
        <f>IF($D11="","",IF([1]設定!$H25="",INDEX([1]第３表!$F$80:$Q$136,MATCH([1]設定!$D25,[1]第３表!$C$80:$C$136,0),1),[1]設定!$H25))</f>
        <v>17.5</v>
      </c>
      <c r="F11" s="52">
        <f>IF($D11="","",IF([1]設定!$H25="",INDEX([1]第３表!$F$80:$Q$136,MATCH([1]設定!$D25,[1]第３表!$C$80:$C$136,0),2),[1]設定!$H25))</f>
        <v>144.19999999999999</v>
      </c>
      <c r="G11" s="52">
        <f>IF($D11="","",IF([1]設定!$H25="",INDEX([1]第３表!$F$80:$Q$136,MATCH([1]設定!$D25,[1]第３表!$C$80:$C$136,0),3),[1]設定!$H25))</f>
        <v>131.1</v>
      </c>
      <c r="H11" s="53">
        <f>IF($D11="","",IF([1]設定!$H25="",INDEX([1]第３表!$F$80:$Q$136,MATCH([1]設定!$D25,[1]第３表!$C$80:$C$136,0),4),[1]設定!$H25))</f>
        <v>13.1</v>
      </c>
      <c r="I11" s="54">
        <f>IF($D11="","",IF([1]設定!$H25="",INDEX([1]第３表!$F$80:$Q$136,MATCH([1]設定!$D25,[1]第３表!$C$80:$C$136,0),5),[1]設定!$H25))</f>
        <v>17.899999999999999</v>
      </c>
      <c r="J11" s="54">
        <f>IF($D11="","",IF([1]設定!$H25="",INDEX([1]第３表!$F$80:$Q$136,MATCH([1]設定!$D25,[1]第３表!$C$80:$C$136,0),6),[1]設定!$H25))</f>
        <v>152.9</v>
      </c>
      <c r="K11" s="54">
        <f>IF($D11="","",IF([1]設定!$H25="",INDEX([1]第３表!$F$80:$Q$136,MATCH([1]設定!$D25,[1]第３表!$C$80:$C$136,0),7),[1]設定!$H25))</f>
        <v>135.9</v>
      </c>
      <c r="L11" s="55">
        <f>IF($D11="","",IF([1]設定!$H25="",INDEX([1]第３表!$F$80:$Q$136,MATCH([1]設定!$D25,[1]第３表!$C$80:$C$136,0),8),[1]設定!$H25))</f>
        <v>17</v>
      </c>
      <c r="M11" s="56">
        <f>IF($D11="","",IF([1]設定!$H25="",INDEX([1]第３表!$F$80:$Q$136,MATCH([1]設定!$D25,[1]第３表!$C$80:$C$136,0),9),[1]設定!$H25))</f>
        <v>16.899999999999999</v>
      </c>
      <c r="N11" s="56">
        <f>IF($D11="","",IF([1]設定!$H25="",INDEX([1]第３表!$F$80:$Q$136,MATCH([1]設定!$D25,[1]第３表!$C$80:$C$136,0),10),[1]設定!$H25))</f>
        <v>132</v>
      </c>
      <c r="O11" s="56">
        <f>IF($D11="","",IF([1]設定!$H25="",INDEX([1]第３表!$F$80:$Q$136,MATCH([1]設定!$D25,[1]第３表!$C$80:$C$136,0),11),[1]設定!$H25))</f>
        <v>124.5</v>
      </c>
      <c r="P11" s="57">
        <f>IF($D11="","",IF([1]設定!$H25="",INDEX([1]第３表!$F$80:$Q$136,MATCH([1]設定!$D25,[1]第３表!$C$80:$C$136,0),12),[1]設定!$H25))</f>
        <v>7.5</v>
      </c>
    </row>
    <row r="12" spans="1:18" s="8" customFormat="1" ht="17.25" customHeight="1" x14ac:dyDescent="0.45">
      <c r="B12" s="49" t="str">
        <f>+[2]第５表!B12</f>
        <v>F</v>
      </c>
      <c r="C12" s="50"/>
      <c r="D12" s="58" t="str">
        <f>+[2]第５表!D12</f>
        <v>電気・ガス・熱供給・水道業</v>
      </c>
      <c r="E12" s="52">
        <f>IF($D12="","",IF([1]設定!$H26="",INDEX([1]第３表!$F$80:$Q$136,MATCH([1]設定!$D26,[1]第３表!$C$80:$C$136,0),1),[1]設定!$H26))</f>
        <v>17.2</v>
      </c>
      <c r="F12" s="52">
        <f>IF($D12="","",IF([1]設定!$H26="",INDEX([1]第３表!$F$80:$Q$136,MATCH([1]設定!$D26,[1]第３表!$C$80:$C$136,0),2),[1]設定!$H26))</f>
        <v>139</v>
      </c>
      <c r="G12" s="52">
        <f>IF($D12="","",IF([1]設定!$H26="",INDEX([1]第３表!$F$80:$Q$136,MATCH([1]設定!$D26,[1]第３表!$C$80:$C$136,0),3),[1]設定!$H26))</f>
        <v>127.3</v>
      </c>
      <c r="H12" s="53">
        <f>IF($D12="","",IF([1]設定!$H26="",INDEX([1]第３表!$F$80:$Q$136,MATCH([1]設定!$D26,[1]第３表!$C$80:$C$136,0),4),[1]設定!$H26))</f>
        <v>11.7</v>
      </c>
      <c r="I12" s="54">
        <f>IF($D12="","",IF([1]設定!$H26="",INDEX([1]第３表!$F$80:$Q$136,MATCH([1]設定!$D26,[1]第３表!$C$80:$C$136,0),5),[1]設定!$H26))</f>
        <v>17.2</v>
      </c>
      <c r="J12" s="54">
        <f>IF($D12="","",IF([1]設定!$H26="",INDEX([1]第３表!$F$80:$Q$136,MATCH([1]設定!$D26,[1]第３表!$C$80:$C$136,0),6),[1]設定!$H26))</f>
        <v>140.4</v>
      </c>
      <c r="K12" s="54">
        <f>IF($D12="","",IF([1]設定!$H26="",INDEX([1]第３表!$F$80:$Q$136,MATCH([1]設定!$D26,[1]第３表!$C$80:$C$136,0),7),[1]設定!$H26))</f>
        <v>127.6</v>
      </c>
      <c r="L12" s="55">
        <f>IF($D12="","",IF([1]設定!$H26="",INDEX([1]第３表!$F$80:$Q$136,MATCH([1]設定!$D26,[1]第３表!$C$80:$C$136,0),8),[1]設定!$H26))</f>
        <v>12.8</v>
      </c>
      <c r="M12" s="56">
        <f>IF($D12="","",IF([1]設定!$H26="",INDEX([1]第３表!$F$80:$Q$136,MATCH([1]設定!$D26,[1]第３表!$C$80:$C$136,0),9),[1]設定!$H26))</f>
        <v>17.3</v>
      </c>
      <c r="N12" s="56">
        <f>IF($D12="","",IF([1]設定!$H26="",INDEX([1]第３表!$F$80:$Q$136,MATCH([1]設定!$D26,[1]第３表!$C$80:$C$136,0),10),[1]設定!$H26))</f>
        <v>130.1</v>
      </c>
      <c r="O12" s="56">
        <f>IF($D12="","",IF([1]設定!$H26="",INDEX([1]第３表!$F$80:$Q$136,MATCH([1]設定!$D26,[1]第３表!$C$80:$C$136,0),11),[1]設定!$H26))</f>
        <v>125.7</v>
      </c>
      <c r="P12" s="57">
        <f>IF($D12="","",IF([1]設定!$H26="",INDEX([1]第３表!$F$80:$Q$136,MATCH([1]設定!$D26,[1]第３表!$C$80:$C$136,0),12),[1]設定!$H26))</f>
        <v>4.4000000000000004</v>
      </c>
    </row>
    <row r="13" spans="1:18" s="8" customFormat="1" ht="17.25" customHeight="1" x14ac:dyDescent="0.45">
      <c r="B13" s="49" t="str">
        <f>+[2]第５表!B13</f>
        <v>G</v>
      </c>
      <c r="C13" s="50"/>
      <c r="D13" s="51" t="str">
        <f>+[2]第５表!D13</f>
        <v>情報通信業</v>
      </c>
      <c r="E13" s="52">
        <f>IF($D13="","",IF([1]設定!$H27="",INDEX([1]第３表!$F$80:$Q$136,MATCH([1]設定!$D27,[1]第３表!$C$80:$C$136,0),1),[1]設定!$H27))</f>
        <v>17.399999999999999</v>
      </c>
      <c r="F13" s="52">
        <f>IF($D13="","",IF([1]設定!$H27="",INDEX([1]第３表!$F$80:$Q$136,MATCH([1]設定!$D27,[1]第３表!$C$80:$C$136,0),2),[1]設定!$H27))</f>
        <v>146.4</v>
      </c>
      <c r="G13" s="52">
        <f>IF($D13="","",IF([1]設定!$H27="",INDEX([1]第３表!$F$80:$Q$136,MATCH([1]設定!$D27,[1]第３表!$C$80:$C$136,0),3),[1]設定!$H27))</f>
        <v>134.69999999999999</v>
      </c>
      <c r="H13" s="53">
        <f>IF($D13="","",IF([1]設定!$H27="",INDEX([1]第３表!$F$80:$Q$136,MATCH([1]設定!$D27,[1]第３表!$C$80:$C$136,0),4),[1]設定!$H27))</f>
        <v>11.7</v>
      </c>
      <c r="I13" s="54">
        <f>IF($D13="","",IF([1]設定!$H27="",INDEX([1]第３表!$F$80:$Q$136,MATCH([1]設定!$D27,[1]第３表!$C$80:$C$136,0),5),[1]設定!$H27))</f>
        <v>17.5</v>
      </c>
      <c r="J13" s="54">
        <f>IF($D13="","",IF([1]設定!$H27="",INDEX([1]第３表!$F$80:$Q$136,MATCH([1]設定!$D27,[1]第３表!$C$80:$C$136,0),6),[1]設定!$H27))</f>
        <v>148.1</v>
      </c>
      <c r="K13" s="54">
        <f>IF($D13="","",IF([1]設定!$H27="",INDEX([1]第３表!$F$80:$Q$136,MATCH([1]設定!$D27,[1]第３表!$C$80:$C$136,0),7),[1]設定!$H27))</f>
        <v>135.19999999999999</v>
      </c>
      <c r="L13" s="55">
        <f>IF($D13="","",IF([1]設定!$H27="",INDEX([1]第３表!$F$80:$Q$136,MATCH([1]設定!$D27,[1]第３表!$C$80:$C$136,0),8),[1]設定!$H27))</f>
        <v>12.9</v>
      </c>
      <c r="M13" s="56">
        <f>IF($D13="","",IF([1]設定!$H27="",INDEX([1]第３表!$F$80:$Q$136,MATCH([1]設定!$D27,[1]第３表!$C$80:$C$136,0),9),[1]設定!$H27))</f>
        <v>17.2</v>
      </c>
      <c r="N13" s="56">
        <f>IF($D13="","",IF([1]設定!$H27="",INDEX([1]第３表!$F$80:$Q$136,MATCH([1]設定!$D27,[1]第３表!$C$80:$C$136,0),10),[1]設定!$H27))</f>
        <v>142.5</v>
      </c>
      <c r="O13" s="56">
        <f>IF($D13="","",IF([1]設定!$H27="",INDEX([1]第３表!$F$80:$Q$136,MATCH([1]設定!$D27,[1]第３表!$C$80:$C$136,0),11),[1]設定!$H27))</f>
        <v>133.6</v>
      </c>
      <c r="P13" s="57">
        <f>IF($D13="","",IF([1]設定!$H27="",INDEX([1]第３表!$F$80:$Q$136,MATCH([1]設定!$D27,[1]第３表!$C$80:$C$136,0),12),[1]設定!$H27))</f>
        <v>8.9</v>
      </c>
    </row>
    <row r="14" spans="1:18" s="8" customFormat="1" ht="17.25" customHeight="1" x14ac:dyDescent="0.45">
      <c r="B14" s="49" t="str">
        <f>+[2]第５表!B14</f>
        <v>H</v>
      </c>
      <c r="C14" s="50"/>
      <c r="D14" s="51" t="str">
        <f>+[2]第５表!D14</f>
        <v>運輸業，郵便業</v>
      </c>
      <c r="E14" s="52">
        <f>IF($D14="","",IF([1]設定!$H28="",INDEX([1]第３表!$F$80:$Q$136,MATCH([1]設定!$D28,[1]第３表!$C$80:$C$136,0),1),[1]設定!$H28))</f>
        <v>18.7</v>
      </c>
      <c r="F14" s="52">
        <f>IF($D14="","",IF([1]設定!$H28="",INDEX([1]第３表!$F$80:$Q$136,MATCH([1]設定!$D28,[1]第３表!$C$80:$C$136,0),2),[1]設定!$H28))</f>
        <v>163.19999999999999</v>
      </c>
      <c r="G14" s="52">
        <f>IF($D14="","",IF([1]設定!$H28="",INDEX([1]第３表!$F$80:$Q$136,MATCH([1]設定!$D28,[1]第３表!$C$80:$C$136,0),3),[1]設定!$H28))</f>
        <v>136.5</v>
      </c>
      <c r="H14" s="53">
        <f>IF($D14="","",IF([1]設定!$H28="",INDEX([1]第３表!$F$80:$Q$136,MATCH([1]設定!$D28,[1]第３表!$C$80:$C$136,0),4),[1]設定!$H28))</f>
        <v>26.7</v>
      </c>
      <c r="I14" s="54">
        <f>IF($D14="","",IF([1]設定!$H28="",INDEX([1]第３表!$F$80:$Q$136,MATCH([1]設定!$D28,[1]第３表!$C$80:$C$136,0),5),[1]設定!$H28))</f>
        <v>19</v>
      </c>
      <c r="J14" s="54">
        <f>IF($D14="","",IF([1]設定!$H28="",INDEX([1]第３表!$F$80:$Q$136,MATCH([1]設定!$D28,[1]第３表!$C$80:$C$136,0),6),[1]設定!$H28))</f>
        <v>169.4</v>
      </c>
      <c r="K14" s="54">
        <f>IF($D14="","",IF([1]設定!$H28="",INDEX([1]第３表!$F$80:$Q$136,MATCH([1]設定!$D28,[1]第３表!$C$80:$C$136,0),7),[1]設定!$H28))</f>
        <v>139.1</v>
      </c>
      <c r="L14" s="55">
        <f>IF($D14="","",IF([1]設定!$H28="",INDEX([1]第３表!$F$80:$Q$136,MATCH([1]設定!$D28,[1]第３表!$C$80:$C$136,0),8),[1]設定!$H28))</f>
        <v>30.3</v>
      </c>
      <c r="M14" s="56">
        <f>IF($D14="","",IF([1]設定!$H28="",INDEX([1]第３表!$F$80:$Q$136,MATCH([1]設定!$D28,[1]第３表!$C$80:$C$136,0),9),[1]設定!$H28))</f>
        <v>17.100000000000001</v>
      </c>
      <c r="N14" s="56">
        <f>IF($D14="","",IF([1]設定!$H28="",INDEX([1]第３表!$F$80:$Q$136,MATCH([1]設定!$D28,[1]第３表!$C$80:$C$136,0),10),[1]設定!$H28))</f>
        <v>131.30000000000001</v>
      </c>
      <c r="O14" s="56">
        <f>IF($D14="","",IF([1]設定!$H28="",INDEX([1]第３表!$F$80:$Q$136,MATCH([1]設定!$D28,[1]第３表!$C$80:$C$136,0),11),[1]設定!$H28))</f>
        <v>123.1</v>
      </c>
      <c r="P14" s="57">
        <f>IF($D14="","",IF([1]設定!$H28="",INDEX([1]第３表!$F$80:$Q$136,MATCH([1]設定!$D28,[1]第３表!$C$80:$C$136,0),12),[1]設定!$H28))</f>
        <v>8.1999999999999993</v>
      </c>
    </row>
    <row r="15" spans="1:18" s="8" customFormat="1" ht="17.25" customHeight="1" x14ac:dyDescent="0.45">
      <c r="B15" s="49" t="str">
        <f>+[2]第５表!B15</f>
        <v>I</v>
      </c>
      <c r="C15" s="50"/>
      <c r="D15" s="51" t="str">
        <f>+[2]第５表!D15</f>
        <v>卸売業，小売業</v>
      </c>
      <c r="E15" s="52">
        <f>IF($D15="","",IF([1]設定!$H29="",INDEX([1]第３表!$F$80:$Q$136,MATCH([1]設定!$D29,[1]第３表!$C$80:$C$136,0),1),[1]設定!$H29))</f>
        <v>17.899999999999999</v>
      </c>
      <c r="F15" s="52">
        <f>IF($D15="","",IF([1]設定!$H29="",INDEX([1]第３表!$F$80:$Q$136,MATCH([1]設定!$D29,[1]第３表!$C$80:$C$136,0),2),[1]設定!$H29))</f>
        <v>133.30000000000001</v>
      </c>
      <c r="G15" s="52">
        <f>IF($D15="","",IF([1]設定!$H29="",INDEX([1]第３表!$F$80:$Q$136,MATCH([1]設定!$D29,[1]第３表!$C$80:$C$136,0),3),[1]設定!$H29))</f>
        <v>125.6</v>
      </c>
      <c r="H15" s="53">
        <f>IF($D15="","",IF([1]設定!$H29="",INDEX([1]第３表!$F$80:$Q$136,MATCH([1]設定!$D29,[1]第３表!$C$80:$C$136,0),4),[1]設定!$H29))</f>
        <v>7.7</v>
      </c>
      <c r="I15" s="54">
        <f>IF($D15="","",IF([1]設定!$H29="",INDEX([1]第３表!$F$80:$Q$136,MATCH([1]設定!$D29,[1]第３表!$C$80:$C$136,0),5),[1]設定!$H29))</f>
        <v>18.399999999999999</v>
      </c>
      <c r="J15" s="54">
        <f>IF($D15="","",IF([1]設定!$H29="",INDEX([1]第３表!$F$80:$Q$136,MATCH([1]設定!$D29,[1]第３表!$C$80:$C$136,0),6),[1]設定!$H29))</f>
        <v>148.6</v>
      </c>
      <c r="K15" s="54">
        <f>IF($D15="","",IF([1]設定!$H29="",INDEX([1]第３表!$F$80:$Q$136,MATCH([1]設定!$D29,[1]第３表!$C$80:$C$136,0),7),[1]設定!$H29))</f>
        <v>137.80000000000001</v>
      </c>
      <c r="L15" s="55">
        <f>IF($D15="","",IF([1]設定!$H29="",INDEX([1]第３表!$F$80:$Q$136,MATCH([1]設定!$D29,[1]第３表!$C$80:$C$136,0),8),[1]設定!$H29))</f>
        <v>10.8</v>
      </c>
      <c r="M15" s="56">
        <f>IF($D15="","",IF([1]設定!$H29="",INDEX([1]第３表!$F$80:$Q$136,MATCH([1]設定!$D29,[1]第３表!$C$80:$C$136,0),9),[1]設定!$H29))</f>
        <v>17.399999999999999</v>
      </c>
      <c r="N15" s="56">
        <f>IF($D15="","",IF([1]設定!$H29="",INDEX([1]第３表!$F$80:$Q$136,MATCH([1]設定!$D29,[1]第３表!$C$80:$C$136,0),10),[1]設定!$H29))</f>
        <v>116.4</v>
      </c>
      <c r="O15" s="56">
        <f>IF($D15="","",IF([1]設定!$H29="",INDEX([1]第３表!$F$80:$Q$136,MATCH([1]設定!$D29,[1]第３表!$C$80:$C$136,0),11),[1]設定!$H29))</f>
        <v>112.1</v>
      </c>
      <c r="P15" s="57">
        <f>IF($D15="","",IF([1]設定!$H29="",INDEX([1]第３表!$F$80:$Q$136,MATCH([1]設定!$D29,[1]第３表!$C$80:$C$136,0),12),[1]設定!$H29))</f>
        <v>4.3</v>
      </c>
    </row>
    <row r="16" spans="1:18" s="8" customFormat="1" ht="17.25" customHeight="1" x14ac:dyDescent="0.45">
      <c r="B16" s="49" t="str">
        <f>+[2]第５表!B16</f>
        <v>J</v>
      </c>
      <c r="C16" s="50"/>
      <c r="D16" s="51" t="str">
        <f>+[2]第５表!D16</f>
        <v>金融業，保険業</v>
      </c>
      <c r="E16" s="52">
        <f>IF($D16="","",IF([1]設定!$H30="",INDEX([1]第３表!$F$80:$Q$136,MATCH([1]設定!$D30,[1]第３表!$C$80:$C$136,0),1),[1]設定!$H30))</f>
        <v>16.600000000000001</v>
      </c>
      <c r="F16" s="52">
        <f>IF($D16="","",IF([1]設定!$H30="",INDEX([1]第３表!$F$80:$Q$136,MATCH([1]設定!$D30,[1]第３表!$C$80:$C$136,0),2),[1]設定!$H30))</f>
        <v>124.5</v>
      </c>
      <c r="G16" s="52">
        <f>IF($D16="","",IF([1]設定!$H30="",INDEX([1]第３表!$F$80:$Q$136,MATCH([1]設定!$D30,[1]第３表!$C$80:$C$136,0),3),[1]設定!$H30))</f>
        <v>120</v>
      </c>
      <c r="H16" s="53">
        <f>IF($D16="","",IF([1]設定!$H30="",INDEX([1]第３表!$F$80:$Q$136,MATCH([1]設定!$D30,[1]第３表!$C$80:$C$136,0),4),[1]設定!$H30))</f>
        <v>4.5</v>
      </c>
      <c r="I16" s="54">
        <f>IF($D16="","",IF([1]設定!$H30="",INDEX([1]第３表!$F$80:$Q$136,MATCH([1]設定!$D30,[1]第３表!$C$80:$C$136,0),5),[1]設定!$H30))</f>
        <v>17.100000000000001</v>
      </c>
      <c r="J16" s="54">
        <f>IF($D16="","",IF([1]設定!$H30="",INDEX([1]第３表!$F$80:$Q$136,MATCH([1]設定!$D30,[1]第３表!$C$80:$C$136,0),6),[1]設定!$H30))</f>
        <v>134.80000000000001</v>
      </c>
      <c r="K16" s="54">
        <f>IF($D16="","",IF([1]設定!$H30="",INDEX([1]第３表!$F$80:$Q$136,MATCH([1]設定!$D30,[1]第３表!$C$80:$C$136,0),7),[1]設定!$H30))</f>
        <v>128.6</v>
      </c>
      <c r="L16" s="55">
        <f>IF($D16="","",IF([1]設定!$H30="",INDEX([1]第３表!$F$80:$Q$136,MATCH([1]設定!$D30,[1]第３表!$C$80:$C$136,0),8),[1]設定!$H30))</f>
        <v>6.2</v>
      </c>
      <c r="M16" s="56">
        <f>IF($D16="","",IF([1]設定!$H30="",INDEX([1]第３表!$F$80:$Q$136,MATCH([1]設定!$D30,[1]第３表!$C$80:$C$136,0),9),[1]設定!$H30))</f>
        <v>16.2</v>
      </c>
      <c r="N16" s="56">
        <f>IF($D16="","",IF([1]設定!$H30="",INDEX([1]第３表!$F$80:$Q$136,MATCH([1]設定!$D30,[1]第３表!$C$80:$C$136,0),10),[1]設定!$H30))</f>
        <v>116.9</v>
      </c>
      <c r="O16" s="56">
        <f>IF($D16="","",IF([1]設定!$H30="",INDEX([1]第３表!$F$80:$Q$136,MATCH([1]設定!$D30,[1]第３表!$C$80:$C$136,0),11),[1]設定!$H30))</f>
        <v>113.6</v>
      </c>
      <c r="P16" s="57">
        <f>IF($D16="","",IF([1]設定!$H30="",INDEX([1]第３表!$F$80:$Q$136,MATCH([1]設定!$D30,[1]第３表!$C$80:$C$136,0),12),[1]設定!$H30))</f>
        <v>3.3</v>
      </c>
    </row>
    <row r="17" spans="2:16" s="8" customFormat="1" ht="17.25" customHeight="1" x14ac:dyDescent="0.45">
      <c r="B17" s="49" t="str">
        <f>+[2]第５表!B17</f>
        <v>K</v>
      </c>
      <c r="C17" s="50"/>
      <c r="D17" s="51" t="str">
        <f>+[2]第５表!D17</f>
        <v>不動産業，物品賃貸業</v>
      </c>
      <c r="E17" s="52">
        <f>IF($D17="","",IF([1]設定!$H31="",INDEX([1]第３表!$F$80:$Q$136,MATCH([1]設定!$D31,[1]第３表!$C$80:$C$136,0),1),[1]設定!$H31))</f>
        <v>15.6</v>
      </c>
      <c r="F17" s="52">
        <f>IF($D17="","",IF([1]設定!$H31="",INDEX([1]第３表!$F$80:$Q$136,MATCH([1]設定!$D31,[1]第３表!$C$80:$C$136,0),2),[1]設定!$H31))</f>
        <v>110.3</v>
      </c>
      <c r="G17" s="52">
        <f>IF($D17="","",IF([1]設定!$H31="",INDEX([1]第３表!$F$80:$Q$136,MATCH([1]設定!$D31,[1]第３表!$C$80:$C$136,0),3),[1]設定!$H31))</f>
        <v>107.9</v>
      </c>
      <c r="H17" s="52">
        <f>IF($D17="","",IF([1]設定!$H31="",INDEX([1]第３表!$F$80:$Q$136,MATCH([1]設定!$D31,[1]第３表!$C$80:$C$136,0),4),[1]設定!$H31))</f>
        <v>2.4</v>
      </c>
      <c r="I17" s="54">
        <f>IF($D17="","",IF([1]設定!$H31="",INDEX([1]第３表!$F$80:$Q$136,MATCH([1]設定!$D31,[1]第３表!$C$80:$C$136,0),5),[1]設定!$H31))</f>
        <v>18.3</v>
      </c>
      <c r="J17" s="54">
        <f>IF($D17="","",IF([1]設定!$H31="",INDEX([1]第３表!$F$80:$Q$136,MATCH([1]設定!$D31,[1]第３表!$C$80:$C$136,0),6),[1]設定!$H31))</f>
        <v>147.9</v>
      </c>
      <c r="K17" s="54">
        <f>IF($D17="","",IF([1]設定!$H31="",INDEX([1]第３表!$F$80:$Q$136,MATCH([1]設定!$D31,[1]第３表!$C$80:$C$136,0),7),[1]設定!$H31))</f>
        <v>141.69999999999999</v>
      </c>
      <c r="L17" s="55">
        <f>IF($D17="","",IF([1]設定!$H31="",INDEX([1]第３表!$F$80:$Q$136,MATCH([1]設定!$D31,[1]第３表!$C$80:$C$136,0),8),[1]設定!$H31))</f>
        <v>6.2</v>
      </c>
      <c r="M17" s="56">
        <f>IF($D17="","",IF([1]設定!$H31="",INDEX([1]第３表!$F$80:$Q$136,MATCH([1]設定!$D31,[1]第３表!$C$80:$C$136,0),9),[1]設定!$H31))</f>
        <v>13.9</v>
      </c>
      <c r="N17" s="56">
        <f>IF($D17="","",IF([1]設定!$H31="",INDEX([1]第３表!$F$80:$Q$136,MATCH([1]設定!$D31,[1]第３表!$C$80:$C$136,0),10),[1]設定!$H31))</f>
        <v>87.7</v>
      </c>
      <c r="O17" s="56">
        <f>IF($D17="","",IF([1]設定!$H31="",INDEX([1]第３表!$F$80:$Q$136,MATCH([1]設定!$D31,[1]第３表!$C$80:$C$136,0),11),[1]設定!$H31))</f>
        <v>87.6</v>
      </c>
      <c r="P17" s="57">
        <f>IF($D17="","",IF([1]設定!$H31="",INDEX([1]第３表!$F$80:$Q$136,MATCH([1]設定!$D31,[1]第３表!$C$80:$C$136,0),12),[1]設定!$H31))</f>
        <v>0.1</v>
      </c>
    </row>
    <row r="18" spans="2:16" s="8" customFormat="1" ht="17.25" customHeight="1" x14ac:dyDescent="0.45">
      <c r="B18" s="49" t="str">
        <f>+[2]第５表!B18</f>
        <v>L</v>
      </c>
      <c r="C18" s="50"/>
      <c r="D18" s="59" t="str">
        <f>+[2]第５表!D18</f>
        <v>学術研究，専門・技術サービス業</v>
      </c>
      <c r="E18" s="52">
        <f>IF($D18="","",IF([1]設定!$H32="",INDEX([1]第３表!$F$80:$Q$136,MATCH([1]設定!$D32,[1]第３表!$C$80:$C$136,0),1),[1]設定!$H32))</f>
        <v>17.399999999999999</v>
      </c>
      <c r="F18" s="52">
        <f>IF($D18="","",IF([1]設定!$H32="",INDEX([1]第３表!$F$80:$Q$136,MATCH([1]設定!$D32,[1]第３表!$C$80:$C$136,0),2),[1]設定!$H32))</f>
        <v>126.1</v>
      </c>
      <c r="G18" s="52">
        <f>IF($D18="","",IF([1]設定!$H32="",INDEX([1]第３表!$F$80:$Q$136,MATCH([1]設定!$D32,[1]第３表!$C$80:$C$136,0),3),[1]設定!$H32))</f>
        <v>118</v>
      </c>
      <c r="H18" s="53">
        <f>IF($D18="","",IF([1]設定!$H32="",INDEX([1]第３表!$F$80:$Q$136,MATCH([1]設定!$D32,[1]第３表!$C$80:$C$136,0),4),[1]設定!$H32))</f>
        <v>8.1</v>
      </c>
      <c r="I18" s="54">
        <f>IF($D18="","",IF([1]設定!$H32="",INDEX([1]第３表!$F$80:$Q$136,MATCH([1]設定!$D32,[1]第３表!$C$80:$C$136,0),5),[1]設定!$H32))</f>
        <v>17.3</v>
      </c>
      <c r="J18" s="54">
        <f>IF($D18="","",IF([1]設定!$H32="",INDEX([1]第３表!$F$80:$Q$136,MATCH([1]設定!$D32,[1]第３表!$C$80:$C$136,0),6),[1]設定!$H32))</f>
        <v>138.19999999999999</v>
      </c>
      <c r="K18" s="54">
        <f>IF($D18="","",IF([1]設定!$H32="",INDEX([1]第３表!$F$80:$Q$136,MATCH([1]設定!$D32,[1]第３表!$C$80:$C$136,0),7),[1]設定!$H32))</f>
        <v>130.6</v>
      </c>
      <c r="L18" s="55">
        <f>IF($D18="","",IF([1]設定!$H32="",INDEX([1]第３表!$F$80:$Q$136,MATCH([1]設定!$D32,[1]第３表!$C$80:$C$136,0),8),[1]設定!$H32))</f>
        <v>7.6</v>
      </c>
      <c r="M18" s="56">
        <f>IF($D18="","",IF([1]設定!$H32="",INDEX([1]第３表!$F$80:$Q$136,MATCH([1]設定!$D32,[1]第３表!$C$80:$C$136,0),9),[1]設定!$H32))</f>
        <v>17.600000000000001</v>
      </c>
      <c r="N18" s="56">
        <f>IF($D18="","",IF([1]設定!$H32="",INDEX([1]第３表!$F$80:$Q$136,MATCH([1]設定!$D32,[1]第３表!$C$80:$C$136,0),10),[1]設定!$H32))</f>
        <v>107.4</v>
      </c>
      <c r="O18" s="56">
        <f>IF($D18="","",IF([1]設定!$H32="",INDEX([1]第３表!$F$80:$Q$136,MATCH([1]設定!$D32,[1]第３表!$C$80:$C$136,0),11),[1]設定!$H32))</f>
        <v>98.5</v>
      </c>
      <c r="P18" s="57">
        <f>IF($D18="","",IF([1]設定!$H32="",INDEX([1]第３表!$F$80:$Q$136,MATCH([1]設定!$D32,[1]第３表!$C$80:$C$136,0),12),[1]設定!$H32))</f>
        <v>8.9</v>
      </c>
    </row>
    <row r="19" spans="2:16" s="8" customFormat="1" ht="17.25" customHeight="1" x14ac:dyDescent="0.45">
      <c r="B19" s="49" t="str">
        <f>+[2]第５表!B19</f>
        <v>M</v>
      </c>
      <c r="C19" s="50"/>
      <c r="D19" s="60" t="str">
        <f>+[2]第５表!D19</f>
        <v>宿泊業，飲食サービス業</v>
      </c>
      <c r="E19" s="52">
        <f>IF($D19="","",IF([1]設定!$H33="",INDEX([1]第３表!$F$80:$Q$136,MATCH([1]設定!$D33,[1]第３表!$C$80:$C$136,0),1),[1]設定!$H33))</f>
        <v>14.6</v>
      </c>
      <c r="F19" s="52">
        <f>IF($D19="","",IF([1]設定!$H33="",INDEX([1]第３表!$F$80:$Q$136,MATCH([1]設定!$D33,[1]第３表!$C$80:$C$136,0),2),[1]設定!$H33))</f>
        <v>85.3</v>
      </c>
      <c r="G19" s="52">
        <f>IF($D19="","",IF([1]設定!$H33="",INDEX([1]第３表!$F$80:$Q$136,MATCH([1]設定!$D33,[1]第３表!$C$80:$C$136,0),3),[1]設定!$H33))</f>
        <v>81.3</v>
      </c>
      <c r="H19" s="53">
        <f>IF($D19="","",IF([1]設定!$H33="",INDEX([1]第３表!$F$80:$Q$136,MATCH([1]設定!$D33,[1]第３表!$C$80:$C$136,0),4),[1]設定!$H33))</f>
        <v>4</v>
      </c>
      <c r="I19" s="54">
        <f>IF($D19="","",IF([1]設定!$H33="",INDEX([1]第３表!$F$80:$Q$136,MATCH([1]設定!$D33,[1]第３表!$C$80:$C$136,0),5),[1]設定!$H33))</f>
        <v>15.3</v>
      </c>
      <c r="J19" s="54">
        <f>IF($D19="","",IF([1]設定!$H33="",INDEX([1]第３表!$F$80:$Q$136,MATCH([1]設定!$D33,[1]第３表!$C$80:$C$136,0),6),[1]設定!$H33))</f>
        <v>90.7</v>
      </c>
      <c r="K19" s="54">
        <f>IF($D19="","",IF([1]設定!$H33="",INDEX([1]第３表!$F$80:$Q$136,MATCH([1]設定!$D33,[1]第３表!$C$80:$C$136,0),7),[1]設定!$H33))</f>
        <v>85.7</v>
      </c>
      <c r="L19" s="55">
        <f>IF($D19="","",IF([1]設定!$H33="",INDEX([1]第３表!$F$80:$Q$136,MATCH([1]設定!$D33,[1]第３表!$C$80:$C$136,0),8),[1]設定!$H33))</f>
        <v>5</v>
      </c>
      <c r="M19" s="56">
        <f>IF($D19="","",IF([1]設定!$H33="",INDEX([1]第３表!$F$80:$Q$136,MATCH([1]設定!$D33,[1]第３表!$C$80:$C$136,0),9),[1]設定!$H33))</f>
        <v>14.3</v>
      </c>
      <c r="N19" s="56">
        <f>IF($D19="","",IF([1]設定!$H33="",INDEX([1]第３表!$F$80:$Q$136,MATCH([1]設定!$D33,[1]第３表!$C$80:$C$136,0),10),[1]設定!$H33))</f>
        <v>82.6</v>
      </c>
      <c r="O19" s="56">
        <f>IF($D19="","",IF([1]設定!$H33="",INDEX([1]第３表!$F$80:$Q$136,MATCH([1]設定!$D33,[1]第３表!$C$80:$C$136,0),11),[1]設定!$H33))</f>
        <v>79.099999999999994</v>
      </c>
      <c r="P19" s="57">
        <f>IF($D19="","",IF([1]設定!$H33="",INDEX([1]第３表!$F$80:$Q$136,MATCH([1]設定!$D33,[1]第３表!$C$80:$C$136,0),12),[1]設定!$H33))</f>
        <v>3.5</v>
      </c>
    </row>
    <row r="20" spans="2:16" s="8" customFormat="1" ht="17.25" customHeight="1" x14ac:dyDescent="0.45">
      <c r="B20" s="49" t="str">
        <f>+[2]第５表!B20</f>
        <v>N</v>
      </c>
      <c r="C20" s="50"/>
      <c r="D20" s="61" t="str">
        <f>+[2]第５表!D20</f>
        <v>生活関連サービス業，娯楽業</v>
      </c>
      <c r="E20" s="52">
        <f>IF($D20="","",IF([1]設定!$H34="",INDEX([1]第３表!$F$80:$Q$136,MATCH([1]設定!$D34,[1]第３表!$C$80:$C$136,0),1),[1]設定!$H34))</f>
        <v>16.3</v>
      </c>
      <c r="F20" s="52">
        <f>IF($D20="","",IF([1]設定!$H34="",INDEX([1]第３表!$F$80:$Q$136,MATCH([1]設定!$D34,[1]第３表!$C$80:$C$136,0),2),[1]設定!$H34))</f>
        <v>114.9</v>
      </c>
      <c r="G20" s="52">
        <f>IF($D20="","",IF([1]設定!$H34="",INDEX([1]第３表!$F$80:$Q$136,MATCH([1]設定!$D34,[1]第３表!$C$80:$C$136,0),3),[1]設定!$H34))</f>
        <v>109.2</v>
      </c>
      <c r="H20" s="53">
        <f>IF($D20="","",IF([1]設定!$H34="",INDEX([1]第３表!$F$80:$Q$136,MATCH([1]設定!$D34,[1]第３表!$C$80:$C$136,0),4),[1]設定!$H34))</f>
        <v>5.7</v>
      </c>
      <c r="I20" s="54">
        <f>IF($D20="","",IF([1]設定!$H34="",INDEX([1]第３表!$F$80:$Q$136,MATCH([1]設定!$D34,[1]第３表!$C$80:$C$136,0),5),[1]設定!$H34))</f>
        <v>16.2</v>
      </c>
      <c r="J20" s="54">
        <f>IF($D20="","",IF([1]設定!$H34="",INDEX([1]第３表!$F$80:$Q$136,MATCH([1]設定!$D34,[1]第３表!$C$80:$C$136,0),6),[1]設定!$H34))</f>
        <v>119.9</v>
      </c>
      <c r="K20" s="54">
        <f>IF($D20="","",IF([1]設定!$H34="",INDEX([1]第３表!$F$80:$Q$136,MATCH([1]設定!$D34,[1]第３表!$C$80:$C$136,0),7),[1]設定!$H34))</f>
        <v>113.9</v>
      </c>
      <c r="L20" s="55">
        <f>IF($D20="","",IF([1]設定!$H34="",INDEX([1]第３表!$F$80:$Q$136,MATCH([1]設定!$D34,[1]第３表!$C$80:$C$136,0),8),[1]設定!$H34))</f>
        <v>6</v>
      </c>
      <c r="M20" s="56">
        <f>IF($D20="","",IF([1]設定!$H34="",INDEX([1]第３表!$F$80:$Q$136,MATCH([1]設定!$D34,[1]第３表!$C$80:$C$136,0),9),[1]設定!$H34))</f>
        <v>16.399999999999999</v>
      </c>
      <c r="N20" s="56">
        <f>IF($D20="","",IF([1]設定!$H34="",INDEX([1]第３表!$F$80:$Q$136,MATCH([1]設定!$D34,[1]第３表!$C$80:$C$136,0),10),[1]設定!$H34))</f>
        <v>108.9</v>
      </c>
      <c r="O20" s="56">
        <f>IF($D20="","",IF([1]設定!$H34="",INDEX([1]第３表!$F$80:$Q$136,MATCH([1]設定!$D34,[1]第３表!$C$80:$C$136,0),11),[1]設定!$H34))</f>
        <v>103.6</v>
      </c>
      <c r="P20" s="57">
        <f>IF($D20="","",IF([1]設定!$H34="",INDEX([1]第３表!$F$80:$Q$136,MATCH([1]設定!$D34,[1]第３表!$C$80:$C$136,0),12),[1]設定!$H34))</f>
        <v>5.3</v>
      </c>
    </row>
    <row r="21" spans="2:16" s="8" customFormat="1" ht="17.25" customHeight="1" x14ac:dyDescent="0.45">
      <c r="B21" s="49" t="str">
        <f>+[2]第５表!B21</f>
        <v>O</v>
      </c>
      <c r="C21" s="50"/>
      <c r="D21" s="51" t="str">
        <f>+[2]第５表!D21</f>
        <v>教育，学習支援業</v>
      </c>
      <c r="E21" s="52">
        <f>IF($D21="","",IF([1]設定!$H35="",INDEX([1]第３表!$F$80:$Q$136,MATCH([1]設定!$D35,[1]第３表!$C$80:$C$136,0),1),[1]設定!$H35))</f>
        <v>16.8</v>
      </c>
      <c r="F21" s="52">
        <f>IF($D21="","",IF([1]設定!$H35="",INDEX([1]第３表!$F$80:$Q$136,MATCH([1]設定!$D35,[1]第３表!$C$80:$C$136,0),2),[1]設定!$H35))</f>
        <v>137</v>
      </c>
      <c r="G21" s="52">
        <f>IF($D21="","",IF([1]設定!$H35="",INDEX([1]第３表!$F$80:$Q$136,MATCH([1]設定!$D35,[1]第３表!$C$80:$C$136,0),3),[1]設定!$H35))</f>
        <v>120.6</v>
      </c>
      <c r="H21" s="53">
        <f>IF($D21="","",IF([1]設定!$H35="",INDEX([1]第３表!$F$80:$Q$136,MATCH([1]設定!$D35,[1]第３表!$C$80:$C$136,0),4),[1]設定!$H35))</f>
        <v>16.399999999999999</v>
      </c>
      <c r="I21" s="54">
        <f>IF($D21="","",IF([1]設定!$H35="",INDEX([1]第３表!$F$80:$Q$136,MATCH([1]設定!$D35,[1]第３表!$C$80:$C$136,0),5),[1]設定!$H35))</f>
        <v>17.2</v>
      </c>
      <c r="J21" s="54">
        <f>IF($D21="","",IF([1]設定!$H35="",INDEX([1]第３表!$F$80:$Q$136,MATCH([1]設定!$D35,[1]第３表!$C$80:$C$136,0),6),[1]設定!$H35))</f>
        <v>145.1</v>
      </c>
      <c r="K21" s="54">
        <f>IF($D21="","",IF([1]設定!$H35="",INDEX([1]第３表!$F$80:$Q$136,MATCH([1]設定!$D35,[1]第３表!$C$80:$C$136,0),7),[1]設定!$H35))</f>
        <v>123.6</v>
      </c>
      <c r="L21" s="55">
        <f>IF($D21="","",IF([1]設定!$H35="",INDEX([1]第３表!$F$80:$Q$136,MATCH([1]設定!$D35,[1]第３表!$C$80:$C$136,0),8),[1]設定!$H35))</f>
        <v>21.5</v>
      </c>
      <c r="M21" s="56">
        <f>IF($D21="","",IF([1]設定!$H35="",INDEX([1]第３表!$F$80:$Q$136,MATCH([1]設定!$D35,[1]第３表!$C$80:$C$136,0),9),[1]設定!$H35))</f>
        <v>16.5</v>
      </c>
      <c r="N21" s="56">
        <f>IF($D21="","",IF([1]設定!$H35="",INDEX([1]第３表!$F$80:$Q$136,MATCH([1]設定!$D35,[1]第３表!$C$80:$C$136,0),10),[1]設定!$H35))</f>
        <v>129.9</v>
      </c>
      <c r="O21" s="56">
        <f>IF($D21="","",IF([1]設定!$H35="",INDEX([1]第３表!$F$80:$Q$136,MATCH([1]設定!$D35,[1]第３表!$C$80:$C$136,0),11),[1]設定!$H35))</f>
        <v>118</v>
      </c>
      <c r="P21" s="57">
        <f>IF($D21="","",IF([1]設定!$H35="",INDEX([1]第３表!$F$80:$Q$136,MATCH([1]設定!$D35,[1]第３表!$C$80:$C$136,0),12),[1]設定!$H35))</f>
        <v>11.9</v>
      </c>
    </row>
    <row r="22" spans="2:16" s="8" customFormat="1" ht="17.25" customHeight="1" x14ac:dyDescent="0.45">
      <c r="B22" s="49" t="str">
        <f>+[2]第５表!B22</f>
        <v>P</v>
      </c>
      <c r="C22" s="50"/>
      <c r="D22" s="51" t="str">
        <f>+[2]第５表!D22</f>
        <v>医療，福祉</v>
      </c>
      <c r="E22" s="52">
        <f>IF($D22="","",IF([1]設定!$H36="",INDEX([1]第３表!$F$80:$Q$136,MATCH([1]設定!$D36,[1]第３表!$C$80:$C$136,0),1),[1]設定!$H36))</f>
        <v>18</v>
      </c>
      <c r="F22" s="52">
        <f>IF($D22="","",IF([1]設定!$H36="",INDEX([1]第３表!$F$80:$Q$136,MATCH([1]設定!$D36,[1]第３表!$C$80:$C$136,0),2),[1]設定!$H36))</f>
        <v>134.1</v>
      </c>
      <c r="G22" s="52">
        <f>IF($D22="","",IF([1]設定!$H36="",INDEX([1]第３表!$F$80:$Q$136,MATCH([1]設定!$D36,[1]第３表!$C$80:$C$136,0),3),[1]設定!$H36))</f>
        <v>129.5</v>
      </c>
      <c r="H22" s="53">
        <f>IF($D22="","",IF([1]設定!$H36="",INDEX([1]第３表!$F$80:$Q$136,MATCH([1]設定!$D36,[1]第３表!$C$80:$C$136,0),4),[1]設定!$H36))</f>
        <v>4.5999999999999996</v>
      </c>
      <c r="I22" s="54">
        <f>IF($D22="","",IF([1]設定!$H36="",INDEX([1]第３表!$F$80:$Q$136,MATCH([1]設定!$D36,[1]第３表!$C$80:$C$136,0),5),[1]設定!$H36))</f>
        <v>18.8</v>
      </c>
      <c r="J22" s="54">
        <f>IF($D22="","",IF([1]設定!$H36="",INDEX([1]第３表!$F$80:$Q$136,MATCH([1]設定!$D36,[1]第３表!$C$80:$C$136,0),6),[1]設定!$H36))</f>
        <v>143.4</v>
      </c>
      <c r="K22" s="54">
        <f>IF($D22="","",IF([1]設定!$H36="",INDEX([1]第３表!$F$80:$Q$136,MATCH([1]設定!$D36,[1]第３表!$C$80:$C$136,0),7),[1]設定!$H36))</f>
        <v>138.6</v>
      </c>
      <c r="L22" s="55">
        <f>IF($D22="","",IF([1]設定!$H36="",INDEX([1]第３表!$F$80:$Q$136,MATCH([1]設定!$D36,[1]第３表!$C$80:$C$136,0),8),[1]設定!$H36))</f>
        <v>4.8</v>
      </c>
      <c r="M22" s="56">
        <f>IF($D22="","",IF([1]設定!$H36="",INDEX([1]第３表!$F$80:$Q$136,MATCH([1]設定!$D36,[1]第３表!$C$80:$C$136,0),9),[1]設定!$H36))</f>
        <v>17.8</v>
      </c>
      <c r="N22" s="56">
        <f>IF($D22="","",IF([1]設定!$H36="",INDEX([1]第３表!$F$80:$Q$136,MATCH([1]設定!$D36,[1]第３表!$C$80:$C$136,0),10),[1]設定!$H36))</f>
        <v>131.1</v>
      </c>
      <c r="O22" s="56">
        <f>IF($D22="","",IF([1]設定!$H36="",INDEX([1]第３表!$F$80:$Q$136,MATCH([1]設定!$D36,[1]第３表!$C$80:$C$136,0),11),[1]設定!$H36))</f>
        <v>126.6</v>
      </c>
      <c r="P22" s="57">
        <f>IF($D22="","",IF([1]設定!$H36="",INDEX([1]第３表!$F$80:$Q$136,MATCH([1]設定!$D36,[1]第３表!$C$80:$C$136,0),12),[1]設定!$H36))</f>
        <v>4.5</v>
      </c>
    </row>
    <row r="23" spans="2:16" s="8" customFormat="1" ht="17.25" customHeight="1" x14ac:dyDescent="0.45">
      <c r="B23" s="49" t="str">
        <f>+[2]第５表!B23</f>
        <v>Q</v>
      </c>
      <c r="C23" s="50"/>
      <c r="D23" s="51" t="str">
        <f>+[2]第５表!D23</f>
        <v>複合サービス事業</v>
      </c>
      <c r="E23" s="52">
        <f>IF($D23="","",IF([1]設定!$H37="",INDEX([1]第３表!$F$80:$Q$136,MATCH([1]設定!$D37,[1]第３表!$C$80:$C$136,0),1),[1]設定!$H37))</f>
        <v>18.3</v>
      </c>
      <c r="F23" s="52">
        <f>IF($D23="","",IF([1]設定!$H37="",INDEX([1]第３表!$F$80:$Q$136,MATCH([1]設定!$D37,[1]第３表!$C$80:$C$136,0),2),[1]設定!$H37))</f>
        <v>144.9</v>
      </c>
      <c r="G23" s="52">
        <f>IF($D23="","",IF([1]設定!$H37="",INDEX([1]第３表!$F$80:$Q$136,MATCH([1]設定!$D37,[1]第３表!$C$80:$C$136,0),3),[1]設定!$H37))</f>
        <v>141.4</v>
      </c>
      <c r="H23" s="53">
        <f>IF($D23="","",IF([1]設定!$H37="",INDEX([1]第３表!$F$80:$Q$136,MATCH([1]設定!$D37,[1]第３表!$C$80:$C$136,0),4),[1]設定!$H37))</f>
        <v>3.5</v>
      </c>
      <c r="I23" s="54">
        <f>IF($D23="","",IF([1]設定!$H37="",INDEX([1]第３表!$F$80:$Q$136,MATCH([1]設定!$D37,[1]第３表!$C$80:$C$136,0),5),[1]設定!$H37))</f>
        <v>17.899999999999999</v>
      </c>
      <c r="J23" s="54">
        <f>IF($D23="","",IF([1]設定!$H37="",INDEX([1]第３表!$F$80:$Q$136,MATCH([1]設定!$D37,[1]第３表!$C$80:$C$136,0),6),[1]設定!$H37))</f>
        <v>144.1</v>
      </c>
      <c r="K23" s="54">
        <f>IF($D23="","",IF([1]設定!$H37="",INDEX([1]第３表!$F$80:$Q$136,MATCH([1]設定!$D37,[1]第３表!$C$80:$C$136,0),7),[1]設定!$H37))</f>
        <v>140.4</v>
      </c>
      <c r="L23" s="55">
        <f>IF($D23="","",IF([1]設定!$H37="",INDEX([1]第３表!$F$80:$Q$136,MATCH([1]設定!$D37,[1]第３表!$C$80:$C$136,0),8),[1]設定!$H37))</f>
        <v>3.7</v>
      </c>
      <c r="M23" s="56">
        <f>IF($D23="","",IF([1]設定!$H37="",INDEX([1]第３表!$F$80:$Q$136,MATCH([1]設定!$D37,[1]第３表!$C$80:$C$136,0),9),[1]設定!$H37))</f>
        <v>19.100000000000001</v>
      </c>
      <c r="N23" s="56">
        <f>IF($D23="","",IF([1]設定!$H37="",INDEX([1]第３表!$F$80:$Q$136,MATCH([1]設定!$D37,[1]第３表!$C$80:$C$136,0),10),[1]設定!$H37))</f>
        <v>146.4</v>
      </c>
      <c r="O23" s="56">
        <f>IF($D23="","",IF([1]設定!$H37="",INDEX([1]第３表!$F$80:$Q$136,MATCH([1]設定!$D37,[1]第３表!$C$80:$C$136,0),11),[1]設定!$H37))</f>
        <v>143.19999999999999</v>
      </c>
      <c r="P23" s="57">
        <f>IF($D23="","",IF([1]設定!$H37="",INDEX([1]第３表!$F$80:$Q$136,MATCH([1]設定!$D37,[1]第３表!$C$80:$C$136,0),12),[1]設定!$H37))</f>
        <v>3.2</v>
      </c>
    </row>
    <row r="24" spans="2:16" s="8" customFormat="1" ht="17.25" customHeight="1" x14ac:dyDescent="0.45">
      <c r="B24" s="49" t="str">
        <f>+[2]第５表!B24</f>
        <v>R</v>
      </c>
      <c r="C24" s="50"/>
      <c r="D24" s="62" t="str">
        <f>+[2]第５表!D24</f>
        <v>サービス業（他に分類されないもの）</v>
      </c>
      <c r="E24" s="52">
        <f>IF($D24="","",IF([1]設定!$H38="",INDEX([1]第３表!$F$80:$Q$136,MATCH([1]設定!$D38,[1]第３表!$C$80:$C$136,0),1),[1]設定!$H38))</f>
        <v>17.600000000000001</v>
      </c>
      <c r="F24" s="52">
        <f>IF($D24="","",IF([1]設定!$H38="",INDEX([1]第３表!$F$80:$Q$136,MATCH([1]設定!$D38,[1]第３表!$C$80:$C$136,0),2),[1]設定!$H38))</f>
        <v>133.80000000000001</v>
      </c>
      <c r="G24" s="52">
        <f>IF($D24="","",IF([1]設定!$H38="",INDEX([1]第３表!$F$80:$Q$136,MATCH([1]設定!$D38,[1]第３表!$C$80:$C$136,0),3),[1]設定!$H38))</f>
        <v>126</v>
      </c>
      <c r="H24" s="53">
        <f>IF($D24="","",IF([1]設定!$H38="",INDEX([1]第３表!$F$80:$Q$136,MATCH([1]設定!$D38,[1]第３表!$C$80:$C$136,0),4),[1]設定!$H38))</f>
        <v>7.8</v>
      </c>
      <c r="I24" s="54">
        <f>IF($D24="","",IF([1]設定!$H38="",INDEX([1]第３表!$F$80:$Q$136,MATCH([1]設定!$D38,[1]第３表!$C$80:$C$136,0),5),[1]設定!$H38))</f>
        <v>18.3</v>
      </c>
      <c r="J24" s="54">
        <f>IF($D24="","",IF([1]設定!$H38="",INDEX([1]第３表!$F$80:$Q$136,MATCH([1]設定!$D38,[1]第３表!$C$80:$C$136,0),6),[1]設定!$H38))</f>
        <v>150.4</v>
      </c>
      <c r="K24" s="54">
        <f>IF($D24="","",IF([1]設定!$H38="",INDEX([1]第３表!$F$80:$Q$136,MATCH([1]設定!$D38,[1]第３表!$C$80:$C$136,0),7),[1]設定!$H38))</f>
        <v>139.1</v>
      </c>
      <c r="L24" s="55">
        <f>IF($D24="","",IF([1]設定!$H38="",INDEX([1]第３表!$F$80:$Q$136,MATCH([1]設定!$D38,[1]第３表!$C$80:$C$136,0),8),[1]設定!$H38))</f>
        <v>11.3</v>
      </c>
      <c r="M24" s="56">
        <f>IF($D24="","",IF([1]設定!$H38="",INDEX([1]第３表!$F$80:$Q$136,MATCH([1]設定!$D38,[1]第３表!$C$80:$C$136,0),9),[1]設定!$H38))</f>
        <v>16.899999999999999</v>
      </c>
      <c r="N24" s="56">
        <f>IF($D24="","",IF([1]設定!$H38="",INDEX([1]第３表!$F$80:$Q$136,MATCH([1]設定!$D38,[1]第３表!$C$80:$C$136,0),10),[1]設定!$H38))</f>
        <v>118.5</v>
      </c>
      <c r="O24" s="56">
        <f>IF($D24="","",IF([1]設定!$H38="",INDEX([1]第３表!$F$80:$Q$136,MATCH([1]設定!$D38,[1]第３表!$C$80:$C$136,0),11),[1]設定!$H38))</f>
        <v>113.9</v>
      </c>
      <c r="P24" s="57">
        <f>IF($D24="","",IF([1]設定!$H38="",INDEX([1]第３表!$F$80:$Q$136,MATCH([1]設定!$D38,[1]第３表!$C$80:$C$136,0),12),[1]設定!$H38))</f>
        <v>4.5999999999999996</v>
      </c>
    </row>
    <row r="25" spans="2:16" s="8" customFormat="1" ht="17.25" customHeight="1" x14ac:dyDescent="0.45">
      <c r="B25" s="45" t="str">
        <f>+[2]第５表!B25</f>
        <v>E09,10</v>
      </c>
      <c r="C25" s="46"/>
      <c r="D25" s="63" t="str">
        <f>+[2]第５表!D25</f>
        <v>食料品・たばこ</v>
      </c>
      <c r="E25" s="48">
        <f>IF($D25="","",IF([1]設定!$H39="",INDEX([1]第３表!$F$80:$Q$136,MATCH([1]設定!$D39,[1]第３表!$C$80:$C$136,0),1),[1]設定!$H39))</f>
        <v>17.100000000000001</v>
      </c>
      <c r="F25" s="48">
        <f>IF($D25="","",IF([1]設定!$H39="",INDEX([1]第３表!$F$80:$Q$136,MATCH([1]設定!$D39,[1]第３表!$C$80:$C$136,0),2),[1]設定!$H39))</f>
        <v>137.69999999999999</v>
      </c>
      <c r="G25" s="48">
        <f>IF($D25="","",IF([1]設定!$H39="",INDEX([1]第３表!$F$80:$Q$136,MATCH([1]設定!$D39,[1]第３表!$C$80:$C$136,0),3),[1]設定!$H39))</f>
        <v>127.2</v>
      </c>
      <c r="H25" s="64">
        <f>IF($D25="","",IF([1]設定!$H39="",INDEX([1]第３表!$F$80:$Q$136,MATCH([1]設定!$D39,[1]第３表!$C$80:$C$136,0),4),[1]設定!$H39))</f>
        <v>10.5</v>
      </c>
      <c r="I25" s="48">
        <f>IF($D25="","",IF([1]設定!$H39="",INDEX([1]第３表!$F$80:$Q$136,MATCH([1]設定!$D39,[1]第３表!$C$80:$C$136,0),5),[1]設定!$H39))</f>
        <v>18</v>
      </c>
      <c r="J25" s="48">
        <f>IF($D25="","",IF([1]設定!$H39="",INDEX([1]第３表!$F$80:$Q$136,MATCH([1]設定!$D39,[1]第３表!$C$80:$C$136,0),6),[1]設定!$H39))</f>
        <v>151.5</v>
      </c>
      <c r="K25" s="48">
        <f>IF($D25="","",IF([1]設定!$H39="",INDEX([1]第３表!$F$80:$Q$136,MATCH([1]設定!$D39,[1]第３表!$C$80:$C$136,0),7),[1]設定!$H39))</f>
        <v>137.69999999999999</v>
      </c>
      <c r="L25" s="64">
        <f>IF($D25="","",IF([1]設定!$H39="",INDEX([1]第３表!$F$80:$Q$136,MATCH([1]設定!$D39,[1]第３表!$C$80:$C$136,0),8),[1]設定!$H39))</f>
        <v>13.8</v>
      </c>
      <c r="M25" s="48">
        <f>IF($D25="","",IF([1]設定!$H39="",INDEX([1]第３表!$F$80:$Q$136,MATCH([1]設定!$D39,[1]第３表!$C$80:$C$136,0),9),[1]設定!$H39))</f>
        <v>16.5</v>
      </c>
      <c r="N25" s="48">
        <f>IF($D25="","",IF([1]設定!$H39="",INDEX([1]第３表!$F$80:$Q$136,MATCH([1]設定!$D39,[1]第３表!$C$80:$C$136,0),10),[1]設定!$H39))</f>
        <v>127.8</v>
      </c>
      <c r="O25" s="48">
        <f>IF($D25="","",IF([1]設定!$H39="",INDEX([1]第３表!$F$80:$Q$136,MATCH([1]設定!$D39,[1]第３表!$C$80:$C$136,0),11),[1]設定!$H39))</f>
        <v>119.6</v>
      </c>
      <c r="P25" s="64">
        <f>IF($D25="","",IF([1]設定!$H39="",INDEX([1]第３表!$F$80:$Q$136,MATCH([1]設定!$D39,[1]第３表!$C$80:$C$136,0),12),[1]設定!$H39))</f>
        <v>8.1999999999999993</v>
      </c>
    </row>
    <row r="26" spans="2:16" s="8" customFormat="1" ht="17.25" customHeight="1" x14ac:dyDescent="0.45">
      <c r="B26" s="49" t="str">
        <f>+[2]第５表!B26</f>
        <v>E11</v>
      </c>
      <c r="C26" s="50"/>
      <c r="D26" s="65" t="str">
        <f>+[2]第５表!D26</f>
        <v>繊維工業</v>
      </c>
      <c r="E26" s="52">
        <f>IF($D26="","",IF([1]設定!$H40="",INDEX([1]第３表!$F$80:$Q$136,MATCH([1]設定!$D40,[1]第３表!$C$80:$C$136,0),1),[1]設定!$H40))</f>
        <v>17.8</v>
      </c>
      <c r="F26" s="52">
        <f>IF($D26="","",IF([1]設定!$H40="",INDEX([1]第３表!$F$80:$Q$136,MATCH([1]設定!$D40,[1]第３表!$C$80:$C$136,0),2),[1]設定!$H40))</f>
        <v>149.5</v>
      </c>
      <c r="G26" s="52">
        <f>IF($D26="","",IF([1]設定!$H40="",INDEX([1]第３表!$F$80:$Q$136,MATCH([1]設定!$D40,[1]第３表!$C$80:$C$136,0),3),[1]設定!$H40))</f>
        <v>134.9</v>
      </c>
      <c r="H26" s="55">
        <f>IF($D26="","",IF([1]設定!$H40="",INDEX([1]第３表!$F$80:$Q$136,MATCH([1]設定!$D40,[1]第３表!$C$80:$C$136,0),4),[1]設定!$H40))</f>
        <v>14.6</v>
      </c>
      <c r="I26" s="52">
        <f>IF($D26="","",IF([1]設定!$H40="",INDEX([1]第３表!$F$80:$Q$136,MATCH([1]設定!$D40,[1]第３表!$C$80:$C$136,0),5),[1]設定!$H40))</f>
        <v>18.600000000000001</v>
      </c>
      <c r="J26" s="52">
        <f>IF($D26="","",IF([1]設定!$H40="",INDEX([1]第３表!$F$80:$Q$136,MATCH([1]設定!$D40,[1]第３表!$C$80:$C$136,0),6),[1]設定!$H40))</f>
        <v>159.80000000000001</v>
      </c>
      <c r="K26" s="52">
        <f>IF($D26="","",IF([1]設定!$H40="",INDEX([1]第３表!$F$80:$Q$136,MATCH([1]設定!$D40,[1]第３表!$C$80:$C$136,0),7),[1]設定!$H40))</f>
        <v>139.30000000000001</v>
      </c>
      <c r="L26" s="55">
        <f>IF($D26="","",IF([1]設定!$H40="",INDEX([1]第３表!$F$80:$Q$136,MATCH([1]設定!$D40,[1]第３表!$C$80:$C$136,0),8),[1]設定!$H40))</f>
        <v>20.5</v>
      </c>
      <c r="M26" s="52">
        <f>IF($D26="","",IF([1]設定!$H40="",INDEX([1]第３表!$F$80:$Q$136,MATCH([1]設定!$D40,[1]第３表!$C$80:$C$136,0),9),[1]設定!$H40))</f>
        <v>17.399999999999999</v>
      </c>
      <c r="N26" s="52">
        <f>IF($D26="","",IF([1]設定!$H40="",INDEX([1]第３表!$F$80:$Q$136,MATCH([1]設定!$D40,[1]第３表!$C$80:$C$136,0),10),[1]設定!$H40))</f>
        <v>144</v>
      </c>
      <c r="O26" s="52">
        <f>IF($D26="","",IF([1]設定!$H40="",INDEX([1]第３表!$F$80:$Q$136,MATCH([1]設定!$D40,[1]第３表!$C$80:$C$136,0),11),[1]設定!$H40))</f>
        <v>132.6</v>
      </c>
      <c r="P26" s="55">
        <f>IF($D26="","",IF([1]設定!$H40="",INDEX([1]第３表!$F$80:$Q$136,MATCH([1]設定!$D40,[1]第３表!$C$80:$C$136,0),12),[1]設定!$H40))</f>
        <v>11.4</v>
      </c>
    </row>
    <row r="27" spans="2:16" s="8" customFormat="1" ht="17.25" customHeight="1" x14ac:dyDescent="0.45">
      <c r="B27" s="49" t="str">
        <f>+[2]第５表!B27</f>
        <v>E12</v>
      </c>
      <c r="C27" s="50"/>
      <c r="D27" s="65" t="str">
        <f>+[2]第５表!D27</f>
        <v>木材・木製品</v>
      </c>
      <c r="E27" s="52">
        <f>IF($D27="","",IF([1]設定!$H41="",INDEX([1]第３表!$F$80:$Q$136,MATCH([1]設定!$D41,[1]第３表!$C$80:$C$136,0),1),[1]設定!$H41))</f>
        <v>17.8</v>
      </c>
      <c r="F27" s="52">
        <f>IF($D27="","",IF([1]設定!$H41="",INDEX([1]第３表!$F$80:$Q$136,MATCH([1]設定!$D41,[1]第３表!$C$80:$C$136,0),2),[1]設定!$H41))</f>
        <v>138</v>
      </c>
      <c r="G27" s="52">
        <f>IF($D27="","",IF([1]設定!$H41="",INDEX([1]第３表!$F$80:$Q$136,MATCH([1]設定!$D41,[1]第３表!$C$80:$C$136,0),3),[1]設定!$H41))</f>
        <v>128.69999999999999</v>
      </c>
      <c r="H27" s="55">
        <f>IF($D27="","",IF([1]設定!$H41="",INDEX([1]第３表!$F$80:$Q$136,MATCH([1]設定!$D41,[1]第３表!$C$80:$C$136,0),4),[1]設定!$H41))</f>
        <v>9.3000000000000007</v>
      </c>
      <c r="I27" s="52">
        <f>IF($D27="","",IF([1]設定!$H41="",INDEX([1]第３表!$F$80:$Q$136,MATCH([1]設定!$D41,[1]第３表!$C$80:$C$136,0),5),[1]設定!$H41))</f>
        <v>17.399999999999999</v>
      </c>
      <c r="J27" s="52">
        <f>IF($D27="","",IF([1]設定!$H41="",INDEX([1]第３表!$F$80:$Q$136,MATCH([1]設定!$D41,[1]第３表!$C$80:$C$136,0),6),[1]設定!$H41))</f>
        <v>140.19999999999999</v>
      </c>
      <c r="K27" s="52">
        <f>IF($D27="","",IF([1]設定!$H41="",INDEX([1]第３表!$F$80:$Q$136,MATCH([1]設定!$D41,[1]第３表!$C$80:$C$136,0),7),[1]設定!$H41))</f>
        <v>128.30000000000001</v>
      </c>
      <c r="L27" s="55">
        <f>IF($D27="","",IF([1]設定!$H41="",INDEX([1]第３表!$F$80:$Q$136,MATCH([1]設定!$D41,[1]第３表!$C$80:$C$136,0),8),[1]設定!$H41))</f>
        <v>11.9</v>
      </c>
      <c r="M27" s="52">
        <f>IF($D27="","",IF([1]設定!$H41="",INDEX([1]第３表!$F$80:$Q$136,MATCH([1]設定!$D41,[1]第３表!$C$80:$C$136,0),9),[1]設定!$H41))</f>
        <v>18.8</v>
      </c>
      <c r="N27" s="52">
        <f>IF($D27="","",IF([1]設定!$H41="",INDEX([1]第３表!$F$80:$Q$136,MATCH([1]設定!$D41,[1]第３表!$C$80:$C$136,0),10),[1]設定!$H41))</f>
        <v>133.1</v>
      </c>
      <c r="O27" s="52">
        <f>IF($D27="","",IF([1]設定!$H41="",INDEX([1]第３表!$F$80:$Q$136,MATCH([1]設定!$D41,[1]第３表!$C$80:$C$136,0),11),[1]設定!$H41))</f>
        <v>129.69999999999999</v>
      </c>
      <c r="P27" s="55">
        <f>IF($D27="","",IF([1]設定!$H41="",INDEX([1]第３表!$F$80:$Q$136,MATCH([1]設定!$D41,[1]第３表!$C$80:$C$136,0),12),[1]設定!$H41))</f>
        <v>3.4</v>
      </c>
    </row>
    <row r="28" spans="2:16" s="8" customFormat="1" ht="17.25" customHeight="1" x14ac:dyDescent="0.45">
      <c r="B28" s="49" t="str">
        <f>+[2]第５表!B28</f>
        <v>E13</v>
      </c>
      <c r="C28" s="50"/>
      <c r="D28" s="65" t="str">
        <f>+[2]第５表!D28</f>
        <v>家具・装備品</v>
      </c>
      <c r="E28" s="52" t="str">
        <f>IF($D28="","",IF([1]設定!$H42="",INDEX([1]第３表!$F$80:$Q$136,MATCH([1]設定!$D42,[1]第３表!$C$80:$C$136,0),1),[1]設定!$H42))</f>
        <v>x</v>
      </c>
      <c r="F28" s="52" t="str">
        <f>IF($D28="","",IF([1]設定!$H42="",INDEX([1]第３表!$F$80:$Q$136,MATCH([1]設定!$D42,[1]第３表!$C$80:$C$136,0),2),[1]設定!$H42))</f>
        <v>x</v>
      </c>
      <c r="G28" s="52" t="str">
        <f>IF($D28="","",IF([1]設定!$H42="",INDEX([1]第３表!$F$80:$Q$136,MATCH([1]設定!$D42,[1]第３表!$C$80:$C$136,0),3),[1]設定!$H42))</f>
        <v>x</v>
      </c>
      <c r="H28" s="55" t="str">
        <f>IF($D28="","",IF([1]設定!$H42="",INDEX([1]第３表!$F$80:$Q$136,MATCH([1]設定!$D42,[1]第３表!$C$80:$C$136,0),4),[1]設定!$H42))</f>
        <v>x</v>
      </c>
      <c r="I28" s="52" t="str">
        <f>IF($D28="","",IF([1]設定!$H42="",INDEX([1]第３表!$F$80:$Q$136,MATCH([1]設定!$D42,[1]第３表!$C$80:$C$136,0),5),[1]設定!$H42))</f>
        <v>x</v>
      </c>
      <c r="J28" s="52" t="str">
        <f>IF($D28="","",IF([1]設定!$H42="",INDEX([1]第３表!$F$80:$Q$136,MATCH([1]設定!$D42,[1]第３表!$C$80:$C$136,0),6),[1]設定!$H42))</f>
        <v>x</v>
      </c>
      <c r="K28" s="52" t="str">
        <f>IF($D28="","",IF([1]設定!$H42="",INDEX([1]第３表!$F$80:$Q$136,MATCH([1]設定!$D42,[1]第３表!$C$80:$C$136,0),7),[1]設定!$H42))</f>
        <v>x</v>
      </c>
      <c r="L28" s="55" t="str">
        <f>IF($D28="","",IF([1]設定!$H42="",INDEX([1]第３表!$F$80:$Q$136,MATCH([1]設定!$D42,[1]第３表!$C$80:$C$136,0),8),[1]設定!$H42))</f>
        <v>x</v>
      </c>
      <c r="M28" s="52" t="str">
        <f>IF($D28="","",IF([1]設定!$H42="",INDEX([1]第３表!$F$80:$Q$136,MATCH([1]設定!$D42,[1]第３表!$C$80:$C$136,0),9),[1]設定!$H42))</f>
        <v>x</v>
      </c>
      <c r="N28" s="52" t="str">
        <f>IF($D28="","",IF([1]設定!$H42="",INDEX([1]第３表!$F$80:$Q$136,MATCH([1]設定!$D42,[1]第３表!$C$80:$C$136,0),10),[1]設定!$H42))</f>
        <v>x</v>
      </c>
      <c r="O28" s="52" t="str">
        <f>IF($D28="","",IF([1]設定!$H42="",INDEX([1]第３表!$F$80:$Q$136,MATCH([1]設定!$D42,[1]第３表!$C$80:$C$136,0),11),[1]設定!$H42))</f>
        <v>x</v>
      </c>
      <c r="P28" s="55" t="str">
        <f>IF($D28="","",IF([1]設定!$H42="",INDEX([1]第３表!$F$80:$Q$136,MATCH([1]設定!$D42,[1]第３表!$C$80:$C$136,0),12),[1]設定!$H42))</f>
        <v>x</v>
      </c>
    </row>
    <row r="29" spans="2:16" s="8" customFormat="1" ht="17.25" customHeight="1" x14ac:dyDescent="0.45">
      <c r="B29" s="49" t="str">
        <f>+[2]第５表!B29</f>
        <v>E15</v>
      </c>
      <c r="C29" s="50"/>
      <c r="D29" s="65" t="str">
        <f>+[2]第５表!D29</f>
        <v>印刷・同関連業</v>
      </c>
      <c r="E29" s="52">
        <f>IF($D29="","",IF([1]設定!$H43="",INDEX([1]第３表!$F$80:$Q$136,MATCH([1]設定!$D43,[1]第３表!$C$80:$C$136,0),1),[1]設定!$H43))</f>
        <v>18.600000000000001</v>
      </c>
      <c r="F29" s="52">
        <f>IF($D29="","",IF([1]設定!$H43="",INDEX([1]第３表!$F$80:$Q$136,MATCH([1]設定!$D43,[1]第３表!$C$80:$C$136,0),2),[1]設定!$H43))</f>
        <v>142</v>
      </c>
      <c r="G29" s="52">
        <f>IF($D29="","",IF([1]設定!$H43="",INDEX([1]第３表!$F$80:$Q$136,MATCH([1]設定!$D43,[1]第３表!$C$80:$C$136,0),3),[1]設定!$H43))</f>
        <v>132.4</v>
      </c>
      <c r="H29" s="55">
        <f>IF($D29="","",IF([1]設定!$H43="",INDEX([1]第３表!$F$80:$Q$136,MATCH([1]設定!$D43,[1]第３表!$C$80:$C$136,0),4),[1]設定!$H43))</f>
        <v>9.6</v>
      </c>
      <c r="I29" s="52">
        <f>IF($D29="","",IF([1]設定!$H43="",INDEX([1]第３表!$F$80:$Q$136,MATCH([1]設定!$D43,[1]第３表!$C$80:$C$136,0),5),[1]設定!$H43))</f>
        <v>18.7</v>
      </c>
      <c r="J29" s="52">
        <f>IF($D29="","",IF([1]設定!$H43="",INDEX([1]第３表!$F$80:$Q$136,MATCH([1]設定!$D43,[1]第３表!$C$80:$C$136,0),6),[1]設定!$H43))</f>
        <v>140.5</v>
      </c>
      <c r="K29" s="52">
        <f>IF($D29="","",IF([1]設定!$H43="",INDEX([1]第３表!$F$80:$Q$136,MATCH([1]設定!$D43,[1]第３表!$C$80:$C$136,0),7),[1]設定!$H43))</f>
        <v>133</v>
      </c>
      <c r="L29" s="55">
        <f>IF($D29="","",IF([1]設定!$H43="",INDEX([1]第３表!$F$80:$Q$136,MATCH([1]設定!$D43,[1]第３表!$C$80:$C$136,0),8),[1]設定!$H43))</f>
        <v>7.5</v>
      </c>
      <c r="M29" s="52">
        <f>IF($D29="","",IF([1]設定!$H43="",INDEX([1]第３表!$F$80:$Q$136,MATCH([1]設定!$D43,[1]第３表!$C$80:$C$136,0),9),[1]設定!$H43))</f>
        <v>18.399999999999999</v>
      </c>
      <c r="N29" s="52">
        <f>IF($D29="","",IF([1]設定!$H43="",INDEX([1]第３表!$F$80:$Q$136,MATCH([1]設定!$D43,[1]第３表!$C$80:$C$136,0),10),[1]設定!$H43))</f>
        <v>144.4</v>
      </c>
      <c r="O29" s="52">
        <f>IF($D29="","",IF([1]設定!$H43="",INDEX([1]第３表!$F$80:$Q$136,MATCH([1]設定!$D43,[1]第３表!$C$80:$C$136,0),11),[1]設定!$H43))</f>
        <v>131.4</v>
      </c>
      <c r="P29" s="55">
        <f>IF($D29="","",IF([1]設定!$H43="",INDEX([1]第３表!$F$80:$Q$136,MATCH([1]設定!$D43,[1]第３表!$C$80:$C$136,0),12),[1]設定!$H43))</f>
        <v>13</v>
      </c>
    </row>
    <row r="30" spans="2:16" s="8" customFormat="1" ht="17.25" customHeight="1" x14ac:dyDescent="0.45">
      <c r="B30" s="49" t="str">
        <f>+[2]第５表!B30</f>
        <v>E16,17</v>
      </c>
      <c r="C30" s="50"/>
      <c r="D30" s="65" t="str">
        <f>+[2]第５表!D30</f>
        <v>化学、石油・石炭</v>
      </c>
      <c r="E30" s="52">
        <f>IF($D30="","",IF([1]設定!$H44="",INDEX([1]第３表!$F$80:$Q$136,MATCH([1]設定!$D44,[1]第３表!$C$80:$C$136,0),1),[1]設定!$H44))</f>
        <v>18</v>
      </c>
      <c r="F30" s="52">
        <f>IF($D30="","",IF([1]設定!$H44="",INDEX([1]第３表!$F$80:$Q$136,MATCH([1]設定!$D44,[1]第３表!$C$80:$C$136,0),2),[1]設定!$H44))</f>
        <v>151.9</v>
      </c>
      <c r="G30" s="52">
        <f>IF($D30="","",IF([1]設定!$H44="",INDEX([1]第３表!$F$80:$Q$136,MATCH([1]設定!$D44,[1]第３表!$C$80:$C$136,0),3),[1]設定!$H44))</f>
        <v>130.9</v>
      </c>
      <c r="H30" s="55">
        <f>IF($D30="","",IF([1]設定!$H44="",INDEX([1]第３表!$F$80:$Q$136,MATCH([1]設定!$D44,[1]第３表!$C$80:$C$136,0),4),[1]設定!$H44))</f>
        <v>21</v>
      </c>
      <c r="I30" s="52">
        <f>IF($D30="","",IF([1]設定!$H44="",INDEX([1]第３表!$F$80:$Q$136,MATCH([1]設定!$D44,[1]第３表!$C$80:$C$136,0),5),[1]設定!$H44))</f>
        <v>18.100000000000001</v>
      </c>
      <c r="J30" s="52">
        <f>IF($D30="","",IF([1]設定!$H44="",INDEX([1]第３表!$F$80:$Q$136,MATCH([1]設定!$D44,[1]第３表!$C$80:$C$136,0),6),[1]設定!$H44))</f>
        <v>153.80000000000001</v>
      </c>
      <c r="K30" s="52">
        <f>IF($D30="","",IF([1]設定!$H44="",INDEX([1]第３表!$F$80:$Q$136,MATCH([1]設定!$D44,[1]第３表!$C$80:$C$136,0),7),[1]設定!$H44))</f>
        <v>131.5</v>
      </c>
      <c r="L30" s="55">
        <f>IF($D30="","",IF([1]設定!$H44="",INDEX([1]第３表!$F$80:$Q$136,MATCH([1]設定!$D44,[1]第３表!$C$80:$C$136,0),8),[1]設定!$H44))</f>
        <v>22.3</v>
      </c>
      <c r="M30" s="52">
        <f>IF($D30="","",IF([1]設定!$H44="",INDEX([1]第３表!$F$80:$Q$136,MATCH([1]設定!$D44,[1]第３表!$C$80:$C$136,0),9),[1]設定!$H44))</f>
        <v>17</v>
      </c>
      <c r="N30" s="52">
        <f>IF($D30="","",IF([1]設定!$H44="",INDEX([1]第３表!$F$80:$Q$136,MATCH([1]設定!$D44,[1]第３表!$C$80:$C$136,0),10),[1]設定!$H44))</f>
        <v>128.9</v>
      </c>
      <c r="O30" s="52">
        <f>IF($D30="","",IF([1]設定!$H44="",INDEX([1]第３表!$F$80:$Q$136,MATCH([1]設定!$D44,[1]第３表!$C$80:$C$136,0),11),[1]設定!$H44))</f>
        <v>123.7</v>
      </c>
      <c r="P30" s="55">
        <f>IF($D30="","",IF([1]設定!$H44="",INDEX([1]第３表!$F$80:$Q$136,MATCH([1]設定!$D44,[1]第３表!$C$80:$C$136,0),12),[1]設定!$H44))</f>
        <v>5.2</v>
      </c>
    </row>
    <row r="31" spans="2:16" s="8" customFormat="1" ht="17.25" customHeight="1" x14ac:dyDescent="0.45">
      <c r="B31" s="49" t="str">
        <f>+[2]第５表!B31</f>
        <v>E18</v>
      </c>
      <c r="C31" s="50"/>
      <c r="D31" s="65" t="str">
        <f>+[2]第５表!D31</f>
        <v>プラスチック製品</v>
      </c>
      <c r="E31" s="52">
        <f>IF($D31="","",IF([1]設定!$H45="",INDEX([1]第３表!$F$80:$Q$136,MATCH([1]設定!$D45,[1]第３表!$C$80:$C$136,0),1),[1]設定!$H45))</f>
        <v>17.8</v>
      </c>
      <c r="F31" s="52">
        <f>IF($D31="","",IF([1]設定!$H45="",INDEX([1]第３表!$F$80:$Q$136,MATCH([1]設定!$D45,[1]第３表!$C$80:$C$136,0),2),[1]設定!$H45))</f>
        <v>141</v>
      </c>
      <c r="G31" s="52">
        <f>IF($D31="","",IF([1]設定!$H45="",INDEX([1]第３表!$F$80:$Q$136,MATCH([1]設定!$D45,[1]第３表!$C$80:$C$136,0),3),[1]設定!$H45))</f>
        <v>130.1</v>
      </c>
      <c r="H31" s="55">
        <f>IF($D31="","",IF([1]設定!$H45="",INDEX([1]第３表!$F$80:$Q$136,MATCH([1]設定!$D45,[1]第３表!$C$80:$C$136,0),4),[1]設定!$H45))</f>
        <v>10.9</v>
      </c>
      <c r="I31" s="52">
        <f>IF($D31="","",IF([1]設定!$H45="",INDEX([1]第３表!$F$80:$Q$136,MATCH([1]設定!$D45,[1]第３表!$C$80:$C$136,0),5),[1]設定!$H45))</f>
        <v>18.2</v>
      </c>
      <c r="J31" s="52">
        <f>IF($D31="","",IF([1]設定!$H45="",INDEX([1]第３表!$F$80:$Q$136,MATCH([1]設定!$D45,[1]第３表!$C$80:$C$136,0),6),[1]設定!$H45))</f>
        <v>149.6</v>
      </c>
      <c r="K31" s="52">
        <f>IF($D31="","",IF([1]設定!$H45="",INDEX([1]第３表!$F$80:$Q$136,MATCH([1]設定!$D45,[1]第３表!$C$80:$C$136,0),7),[1]設定!$H45))</f>
        <v>135.4</v>
      </c>
      <c r="L31" s="55">
        <f>IF($D31="","",IF([1]設定!$H45="",INDEX([1]第３表!$F$80:$Q$136,MATCH([1]設定!$D45,[1]第３表!$C$80:$C$136,0),8),[1]設定!$H45))</f>
        <v>14.2</v>
      </c>
      <c r="M31" s="52">
        <f>IF($D31="","",IF([1]設定!$H45="",INDEX([1]第３表!$F$80:$Q$136,MATCH([1]設定!$D45,[1]第３表!$C$80:$C$136,0),9),[1]設定!$H45))</f>
        <v>16.3</v>
      </c>
      <c r="N31" s="52">
        <f>IF($D31="","",IF([1]設定!$H45="",INDEX([1]第３表!$F$80:$Q$136,MATCH([1]設定!$D45,[1]第３表!$C$80:$C$136,0),10),[1]設定!$H45))</f>
        <v>115.3</v>
      </c>
      <c r="O31" s="52">
        <f>IF($D31="","",IF([1]設定!$H45="",INDEX([1]第３表!$F$80:$Q$136,MATCH([1]設定!$D45,[1]第３表!$C$80:$C$136,0),11),[1]設定!$H45))</f>
        <v>114.2</v>
      </c>
      <c r="P31" s="55">
        <f>IF($D31="","",IF([1]設定!$H45="",INDEX([1]第３表!$F$80:$Q$136,MATCH([1]設定!$D45,[1]第３表!$C$80:$C$136,0),12),[1]設定!$H45))</f>
        <v>1.1000000000000001</v>
      </c>
    </row>
    <row r="32" spans="2:16" s="8" customFormat="1" ht="17.25" customHeight="1" x14ac:dyDescent="0.45">
      <c r="B32" s="49" t="str">
        <f>+[2]第５表!B32</f>
        <v>E19</v>
      </c>
      <c r="C32" s="50"/>
      <c r="D32" s="65" t="str">
        <f>+[2]第５表!D32</f>
        <v>ゴム製品</v>
      </c>
      <c r="E32" s="52">
        <f>IF($D32="","",IF([1]設定!$H46="",INDEX([1]第３表!$F$80:$Q$136,MATCH([1]設定!$D46,[1]第３表!$C$80:$C$136,0),1),[1]設定!$H46))</f>
        <v>17.3</v>
      </c>
      <c r="F32" s="52">
        <f>IF($D32="","",IF([1]設定!$H46="",INDEX([1]第３表!$F$80:$Q$136,MATCH([1]設定!$D46,[1]第３表!$C$80:$C$136,0),2),[1]設定!$H46))</f>
        <v>148.80000000000001</v>
      </c>
      <c r="G32" s="52">
        <f>IF($D32="","",IF([1]設定!$H46="",INDEX([1]第３表!$F$80:$Q$136,MATCH([1]設定!$D46,[1]第３表!$C$80:$C$136,0),3),[1]設定!$H46))</f>
        <v>128.19999999999999</v>
      </c>
      <c r="H32" s="55">
        <f>IF($D32="","",IF([1]設定!$H46="",INDEX([1]第３表!$F$80:$Q$136,MATCH([1]設定!$D46,[1]第３表!$C$80:$C$136,0),4),[1]設定!$H46))</f>
        <v>20.6</v>
      </c>
      <c r="I32" s="52">
        <f>IF($D32="","",IF([1]設定!$H46="",INDEX([1]第３表!$F$80:$Q$136,MATCH([1]設定!$D46,[1]第３表!$C$80:$C$136,0),5),[1]設定!$H46))</f>
        <v>17.3</v>
      </c>
      <c r="J32" s="52">
        <f>IF($D32="","",IF([1]設定!$H46="",INDEX([1]第３表!$F$80:$Q$136,MATCH([1]設定!$D46,[1]第３表!$C$80:$C$136,0),6),[1]設定!$H46))</f>
        <v>149.6</v>
      </c>
      <c r="K32" s="52">
        <f>IF($D32="","",IF([1]設定!$H46="",INDEX([1]第３表!$F$80:$Q$136,MATCH([1]設定!$D46,[1]第３表!$C$80:$C$136,0),7),[1]設定!$H46))</f>
        <v>127.2</v>
      </c>
      <c r="L32" s="55">
        <f>IF($D32="","",IF([1]設定!$H46="",INDEX([1]第３表!$F$80:$Q$136,MATCH([1]設定!$D46,[1]第３表!$C$80:$C$136,0),8),[1]設定!$H46))</f>
        <v>22.4</v>
      </c>
      <c r="M32" s="52">
        <f>IF($D32="","",IF([1]設定!$H46="",INDEX([1]第３表!$F$80:$Q$136,MATCH([1]設定!$D46,[1]第３表!$C$80:$C$136,0),9),[1]設定!$H46))</f>
        <v>17.3</v>
      </c>
      <c r="N32" s="52">
        <f>IF($D32="","",IF([1]設定!$H46="",INDEX([1]第３表!$F$80:$Q$136,MATCH([1]設定!$D46,[1]第３表!$C$80:$C$136,0),10),[1]設定!$H46))</f>
        <v>143.4</v>
      </c>
      <c r="O32" s="52">
        <f>IF($D32="","",IF([1]設定!$H46="",INDEX([1]第３表!$F$80:$Q$136,MATCH([1]設定!$D46,[1]第３表!$C$80:$C$136,0),11),[1]設定!$H46))</f>
        <v>134.6</v>
      </c>
      <c r="P32" s="55">
        <f>IF($D32="","",IF([1]設定!$H46="",INDEX([1]第３表!$F$80:$Q$136,MATCH([1]設定!$D46,[1]第３表!$C$80:$C$136,0),12),[1]設定!$H46))</f>
        <v>8.8000000000000007</v>
      </c>
    </row>
    <row r="33" spans="2:17" s="8" customFormat="1" ht="17.25" customHeight="1" x14ac:dyDescent="0.45">
      <c r="B33" s="49" t="str">
        <f>+[2]第５表!B33</f>
        <v>E21</v>
      </c>
      <c r="C33" s="50"/>
      <c r="D33" s="65" t="str">
        <f>+[2]第５表!D33</f>
        <v>窯業・土石製品</v>
      </c>
      <c r="E33" s="52">
        <f>IF($D33="","",IF([1]設定!$H47="",INDEX([1]第３表!$F$80:$Q$136,MATCH([1]設定!$D47,[1]第３表!$C$80:$C$136,0),1),[1]設定!$H47))</f>
        <v>15.6</v>
      </c>
      <c r="F33" s="52">
        <f>IF($D33="","",IF([1]設定!$H47="",INDEX([1]第３表!$F$80:$Q$136,MATCH([1]設定!$D47,[1]第３表!$C$80:$C$136,0),2),[1]設定!$H47))</f>
        <v>135.19999999999999</v>
      </c>
      <c r="G33" s="52">
        <f>IF($D33="","",IF([1]設定!$H47="",INDEX([1]第３表!$F$80:$Q$136,MATCH([1]設定!$D47,[1]第３表!$C$80:$C$136,0),3),[1]設定!$H47))</f>
        <v>122.3</v>
      </c>
      <c r="H33" s="55">
        <f>IF($D33="","",IF([1]設定!$H47="",INDEX([1]第３表!$F$80:$Q$136,MATCH([1]設定!$D47,[1]第３表!$C$80:$C$136,0),4),[1]設定!$H47))</f>
        <v>12.9</v>
      </c>
      <c r="I33" s="52">
        <f>IF($D33="","",IF([1]設定!$H47="",INDEX([1]第３表!$F$80:$Q$136,MATCH([1]設定!$D47,[1]第３表!$C$80:$C$136,0),5),[1]設定!$H47))</f>
        <v>15.3</v>
      </c>
      <c r="J33" s="52">
        <f>IF($D33="","",IF([1]設定!$H47="",INDEX([1]第３表!$F$80:$Q$136,MATCH([1]設定!$D47,[1]第３表!$C$80:$C$136,0),6),[1]設定!$H47))</f>
        <v>137.9</v>
      </c>
      <c r="K33" s="52">
        <f>IF($D33="","",IF([1]設定!$H47="",INDEX([1]第３表!$F$80:$Q$136,MATCH([1]設定!$D47,[1]第３表!$C$80:$C$136,0),7),[1]設定!$H47))</f>
        <v>121.4</v>
      </c>
      <c r="L33" s="55">
        <f>IF($D33="","",IF([1]設定!$H47="",INDEX([1]第３表!$F$80:$Q$136,MATCH([1]設定!$D47,[1]第３表!$C$80:$C$136,0),8),[1]設定!$H47))</f>
        <v>16.5</v>
      </c>
      <c r="M33" s="52">
        <f>IF($D33="","",IF([1]設定!$H47="",INDEX([1]第３表!$F$80:$Q$136,MATCH([1]設定!$D47,[1]第３表!$C$80:$C$136,0),9),[1]設定!$H47))</f>
        <v>16.399999999999999</v>
      </c>
      <c r="N33" s="52">
        <f>IF($D33="","",IF([1]設定!$H47="",INDEX([1]第３表!$F$80:$Q$136,MATCH([1]設定!$D47,[1]第３表!$C$80:$C$136,0),10),[1]設定!$H47))</f>
        <v>126.8</v>
      </c>
      <c r="O33" s="52">
        <f>IF($D33="","",IF([1]設定!$H47="",INDEX([1]第３表!$F$80:$Q$136,MATCH([1]設定!$D47,[1]第３表!$C$80:$C$136,0),11),[1]設定!$H47))</f>
        <v>125.2</v>
      </c>
      <c r="P33" s="55">
        <f>IF($D33="","",IF([1]設定!$H47="",INDEX([1]第３表!$F$80:$Q$136,MATCH([1]設定!$D47,[1]第３表!$C$80:$C$136,0),12),[1]設定!$H47))</f>
        <v>1.6</v>
      </c>
    </row>
    <row r="34" spans="2:17" s="8" customFormat="1" ht="17.25" customHeight="1" x14ac:dyDescent="0.45">
      <c r="B34" s="49" t="str">
        <f>+[2]第５表!B34</f>
        <v>E24</v>
      </c>
      <c r="C34" s="50"/>
      <c r="D34" s="65" t="str">
        <f>+[2]第５表!D34</f>
        <v>金属製品製造業</v>
      </c>
      <c r="E34" s="55">
        <f>IF($D34="","",IF([1]設定!$H48="",INDEX([1]第３表!$F$80:$Q$136,MATCH([1]設定!$D48,[1]第３表!$C$80:$C$136,0),1),[1]設定!$H48))</f>
        <v>19.100000000000001</v>
      </c>
      <c r="F34" s="55">
        <f>IF($D34="","",IF([1]設定!$H48="",INDEX([1]第３表!$F$80:$Q$136,MATCH([1]設定!$D48,[1]第３表!$C$80:$C$136,0),2),[1]設定!$H48))</f>
        <v>153.1</v>
      </c>
      <c r="G34" s="55">
        <f>IF($D34="","",IF([1]設定!$H48="",INDEX([1]第３表!$F$80:$Q$136,MATCH([1]設定!$D48,[1]第３表!$C$80:$C$136,0),3),[1]設定!$H48))</f>
        <v>141.80000000000001</v>
      </c>
      <c r="H34" s="55">
        <f>IF($D34="","",IF([1]設定!$H48="",INDEX([1]第３表!$F$80:$Q$136,MATCH([1]設定!$D48,[1]第３表!$C$80:$C$136,0),4),[1]設定!$H48))</f>
        <v>11.3</v>
      </c>
      <c r="I34" s="55">
        <f>IF($D34="","",IF([1]設定!$H48="",INDEX([1]第３表!$F$80:$Q$136,MATCH([1]設定!$D48,[1]第３表!$C$80:$C$136,0),5),[1]設定!$H48))</f>
        <v>19.100000000000001</v>
      </c>
      <c r="J34" s="55">
        <f>IF($D34="","",IF([1]設定!$H48="",INDEX([1]第３表!$F$80:$Q$136,MATCH([1]設定!$D48,[1]第３表!$C$80:$C$136,0),6),[1]設定!$H48))</f>
        <v>163.30000000000001</v>
      </c>
      <c r="K34" s="55">
        <f>IF($D34="","",IF([1]設定!$H48="",INDEX([1]第３表!$F$80:$Q$136,MATCH([1]設定!$D48,[1]第３表!$C$80:$C$136,0),7),[1]設定!$H48))</f>
        <v>147.30000000000001</v>
      </c>
      <c r="L34" s="55">
        <f>IF($D34="","",IF([1]設定!$H48="",INDEX([1]第３表!$F$80:$Q$136,MATCH([1]設定!$D48,[1]第３表!$C$80:$C$136,0),8),[1]設定!$H48))</f>
        <v>16</v>
      </c>
      <c r="M34" s="55">
        <f>IF($D34="","",IF([1]設定!$H48="",INDEX([1]第３表!$F$80:$Q$136,MATCH([1]設定!$D48,[1]第３表!$C$80:$C$136,0),9),[1]設定!$H48))</f>
        <v>19.100000000000001</v>
      </c>
      <c r="N34" s="55">
        <f>IF($D34="","",IF([1]設定!$H48="",INDEX([1]第３表!$F$80:$Q$136,MATCH([1]設定!$D48,[1]第３表!$C$80:$C$136,0),10),[1]設定!$H48))</f>
        <v>136.9</v>
      </c>
      <c r="O34" s="55">
        <f>IF($D34="","",IF([1]設定!$H48="",INDEX([1]第３表!$F$80:$Q$136,MATCH([1]設定!$D48,[1]第３表!$C$80:$C$136,0),11),[1]設定!$H48))</f>
        <v>133.1</v>
      </c>
      <c r="P34" s="55">
        <f>IF($D34="","",IF([1]設定!$H48="",INDEX([1]第３表!$F$80:$Q$136,MATCH([1]設定!$D48,[1]第３表!$C$80:$C$136,0),12),[1]設定!$H48))</f>
        <v>3.8</v>
      </c>
    </row>
    <row r="35" spans="2:17" s="8" customFormat="1" ht="17.25" customHeight="1" x14ac:dyDescent="0.45">
      <c r="B35" s="49" t="str">
        <f>+[2]第５表!B35</f>
        <v>E27</v>
      </c>
      <c r="C35" s="50"/>
      <c r="D35" s="65" t="str">
        <f>+[2]第５表!D35</f>
        <v>業務用機械器具</v>
      </c>
      <c r="E35" s="55">
        <f>IF($D35="","",IF([1]設定!$H49="",INDEX([1]第３表!$F$80:$Q$136,MATCH([1]設定!$D49,[1]第３表!$C$80:$C$136,0),1),[1]設定!$H49))</f>
        <v>16.7</v>
      </c>
      <c r="F35" s="55">
        <f>IF($D35="","",IF([1]設定!$H49="",INDEX([1]第３表!$F$80:$Q$136,MATCH([1]設定!$D49,[1]第３表!$C$80:$C$136,0),2),[1]設定!$H49))</f>
        <v>138.6</v>
      </c>
      <c r="G35" s="55">
        <f>IF($D35="","",IF([1]設定!$H49="",INDEX([1]第３表!$F$80:$Q$136,MATCH([1]設定!$D49,[1]第３表!$C$80:$C$136,0),3),[1]設定!$H49))</f>
        <v>130.4</v>
      </c>
      <c r="H35" s="55">
        <f>IF($D35="","",IF([1]設定!$H49="",INDEX([1]第３表!$F$80:$Q$136,MATCH([1]設定!$D49,[1]第３表!$C$80:$C$136,0),4),[1]設定!$H49))</f>
        <v>8.1999999999999993</v>
      </c>
      <c r="I35" s="55">
        <f>IF($D35="","",IF([1]設定!$H49="",INDEX([1]第３表!$F$80:$Q$136,MATCH([1]設定!$D49,[1]第３表!$C$80:$C$136,0),5),[1]設定!$H49))</f>
        <v>17.5</v>
      </c>
      <c r="J35" s="55">
        <f>IF($D35="","",IF([1]設定!$H49="",INDEX([1]第３表!$F$80:$Q$136,MATCH([1]設定!$D49,[1]第３表!$C$80:$C$136,0),6),[1]設定!$H49))</f>
        <v>147.9</v>
      </c>
      <c r="K35" s="55">
        <f>IF($D35="","",IF([1]設定!$H49="",INDEX([1]第３表!$F$80:$Q$136,MATCH([1]設定!$D49,[1]第３表!$C$80:$C$136,0),7),[1]設定!$H49))</f>
        <v>136.6</v>
      </c>
      <c r="L35" s="55">
        <f>IF($D35="","",IF([1]設定!$H49="",INDEX([1]第３表!$F$80:$Q$136,MATCH([1]設定!$D49,[1]第３表!$C$80:$C$136,0),8),[1]設定!$H49))</f>
        <v>11.3</v>
      </c>
      <c r="M35" s="55">
        <f>IF($D35="","",IF([1]設定!$H49="",INDEX([1]第３表!$F$80:$Q$136,MATCH([1]設定!$D49,[1]第３表!$C$80:$C$136,0),9),[1]設定!$H49))</f>
        <v>16</v>
      </c>
      <c r="N35" s="55">
        <f>IF($D35="","",IF([1]設定!$H49="",INDEX([1]第３表!$F$80:$Q$136,MATCH([1]設定!$D49,[1]第３表!$C$80:$C$136,0),10),[1]設定!$H49))</f>
        <v>130.5</v>
      </c>
      <c r="O35" s="55">
        <f>IF($D35="","",IF([1]設定!$H49="",INDEX([1]第３表!$F$80:$Q$136,MATCH([1]設定!$D49,[1]第３表!$C$80:$C$136,0),11),[1]設定!$H49))</f>
        <v>125.1</v>
      </c>
      <c r="P35" s="55">
        <f>IF($D35="","",IF([1]設定!$H49="",INDEX([1]第３表!$F$80:$Q$136,MATCH([1]設定!$D49,[1]第３表!$C$80:$C$136,0),12),[1]設定!$H49))</f>
        <v>5.4</v>
      </c>
    </row>
    <row r="36" spans="2:17" s="8" customFormat="1" ht="17.25" customHeight="1" x14ac:dyDescent="0.45">
      <c r="B36" s="49" t="str">
        <f>+[2]第５表!B36</f>
        <v>E28</v>
      </c>
      <c r="C36" s="50"/>
      <c r="D36" s="65" t="str">
        <f>+[2]第５表!D36</f>
        <v>電子・デバイス</v>
      </c>
      <c r="E36" s="55">
        <f>IF($D36="","",IF([1]設定!$H50="",INDEX([1]第３表!$F$80:$Q$136,MATCH([1]設定!$D50,[1]第３表!$C$80:$C$136,0),1),[1]設定!$H50))</f>
        <v>18.600000000000001</v>
      </c>
      <c r="F36" s="55">
        <f>IF($D36="","",IF([1]設定!$H50="",INDEX([1]第３表!$F$80:$Q$136,MATCH([1]設定!$D50,[1]第３表!$C$80:$C$136,0),2),[1]設定!$H50))</f>
        <v>159.9</v>
      </c>
      <c r="G36" s="55">
        <f>IF($D36="","",IF([1]設定!$H50="",INDEX([1]第３表!$F$80:$Q$136,MATCH([1]設定!$D50,[1]第３表!$C$80:$C$136,0),3),[1]設定!$H50))</f>
        <v>144.9</v>
      </c>
      <c r="H36" s="55">
        <f>IF($D36="","",IF([1]設定!$H50="",INDEX([1]第３表!$F$80:$Q$136,MATCH([1]設定!$D50,[1]第３表!$C$80:$C$136,0),4),[1]設定!$H50))</f>
        <v>15</v>
      </c>
      <c r="I36" s="55">
        <f>IF($D36="","",IF([1]設定!$H50="",INDEX([1]第３表!$F$80:$Q$136,MATCH([1]設定!$D50,[1]第３表!$C$80:$C$136,0),5),[1]設定!$H50))</f>
        <v>18.899999999999999</v>
      </c>
      <c r="J36" s="55">
        <f>IF($D36="","",IF([1]設定!$H50="",INDEX([1]第３表!$F$80:$Q$136,MATCH([1]設定!$D50,[1]第３表!$C$80:$C$136,0),6),[1]設定!$H50))</f>
        <v>168.5</v>
      </c>
      <c r="K36" s="55">
        <f>IF($D36="","",IF([1]設定!$H50="",INDEX([1]第３表!$F$80:$Q$136,MATCH([1]設定!$D50,[1]第３表!$C$80:$C$136,0),7),[1]設定!$H50))</f>
        <v>149.69999999999999</v>
      </c>
      <c r="L36" s="55">
        <f>IF($D36="","",IF([1]設定!$H50="",INDEX([1]第３表!$F$80:$Q$136,MATCH([1]設定!$D50,[1]第３表!$C$80:$C$136,0),8),[1]設定!$H50))</f>
        <v>18.8</v>
      </c>
      <c r="M36" s="55">
        <f>IF($D36="","",IF([1]設定!$H50="",INDEX([1]第３表!$F$80:$Q$136,MATCH([1]設定!$D50,[1]第３表!$C$80:$C$136,0),9),[1]設定!$H50))</f>
        <v>18.100000000000001</v>
      </c>
      <c r="N36" s="55">
        <f>IF($D36="","",IF([1]設定!$H50="",INDEX([1]第３表!$F$80:$Q$136,MATCH([1]設定!$D50,[1]第３表!$C$80:$C$136,0),10),[1]設定!$H50))</f>
        <v>140.69999999999999</v>
      </c>
      <c r="O36" s="55">
        <f>IF($D36="","",IF([1]設定!$H50="",INDEX([1]第３表!$F$80:$Q$136,MATCH([1]設定!$D50,[1]第３表!$C$80:$C$136,0),11),[1]設定!$H50))</f>
        <v>134.30000000000001</v>
      </c>
      <c r="P36" s="55">
        <f>IF($D36="","",IF([1]設定!$H50="",INDEX([1]第３表!$F$80:$Q$136,MATCH([1]設定!$D50,[1]第３表!$C$80:$C$136,0),12),[1]設定!$H50))</f>
        <v>6.4</v>
      </c>
    </row>
    <row r="37" spans="2:17" s="8" customFormat="1" ht="17.25" customHeight="1" x14ac:dyDescent="0.45">
      <c r="B37" s="49" t="str">
        <f>+[2]第５表!B37</f>
        <v>E29</v>
      </c>
      <c r="C37" s="50"/>
      <c r="D37" s="65" t="str">
        <f>+[2]第５表!D37</f>
        <v>電気機械器具</v>
      </c>
      <c r="E37" s="55">
        <f>IF($D37="","",IF([1]設定!$H51="",INDEX([1]第３表!$F$80:$Q$136,MATCH([1]設定!$D51,[1]第３表!$C$80:$C$136,0),1),[1]設定!$H51))</f>
        <v>16.399999999999999</v>
      </c>
      <c r="F37" s="55">
        <f>IF($D37="","",IF([1]設定!$H51="",INDEX([1]第３表!$F$80:$Q$136,MATCH([1]設定!$D51,[1]第３表!$C$80:$C$136,0),2),[1]設定!$H51))</f>
        <v>133.19999999999999</v>
      </c>
      <c r="G37" s="55">
        <f>IF($D37="","",IF([1]設定!$H51="",INDEX([1]第３表!$F$80:$Q$136,MATCH([1]設定!$D51,[1]第３表!$C$80:$C$136,0),3),[1]設定!$H51))</f>
        <v>126</v>
      </c>
      <c r="H37" s="55">
        <f>IF($D37="","",IF([1]設定!$H51="",INDEX([1]第３表!$F$80:$Q$136,MATCH([1]設定!$D51,[1]第３表!$C$80:$C$136,0),4),[1]設定!$H51))</f>
        <v>7.2</v>
      </c>
      <c r="I37" s="55">
        <f>IF($D37="","",IF([1]設定!$H51="",INDEX([1]第３表!$F$80:$Q$136,MATCH([1]設定!$D51,[1]第３表!$C$80:$C$136,0),5),[1]設定!$H51))</f>
        <v>17</v>
      </c>
      <c r="J37" s="55">
        <f>IF($D37="","",IF([1]設定!$H51="",INDEX([1]第３表!$F$80:$Q$136,MATCH([1]設定!$D51,[1]第３表!$C$80:$C$136,0),6),[1]設定!$H51))</f>
        <v>140.1</v>
      </c>
      <c r="K37" s="55">
        <f>IF($D37="","",IF([1]設定!$H51="",INDEX([1]第３表!$F$80:$Q$136,MATCH([1]設定!$D51,[1]第３表!$C$80:$C$136,0),7),[1]設定!$H51))</f>
        <v>130.69999999999999</v>
      </c>
      <c r="L37" s="55">
        <f>IF($D37="","",IF([1]設定!$H51="",INDEX([1]第３表!$F$80:$Q$136,MATCH([1]設定!$D51,[1]第３表!$C$80:$C$136,0),8),[1]設定!$H51))</f>
        <v>9.4</v>
      </c>
      <c r="M37" s="55">
        <f>IF($D37="","",IF([1]設定!$H51="",INDEX([1]第３表!$F$80:$Q$136,MATCH([1]設定!$D51,[1]第３表!$C$80:$C$136,0),9),[1]設定!$H51))</f>
        <v>15.2</v>
      </c>
      <c r="N37" s="55">
        <f>IF($D37="","",IF([1]設定!$H51="",INDEX([1]第３表!$F$80:$Q$136,MATCH([1]設定!$D51,[1]第３表!$C$80:$C$136,0),10),[1]設定!$H51))</f>
        <v>118.7</v>
      </c>
      <c r="O37" s="55">
        <f>IF($D37="","",IF([1]設定!$H51="",INDEX([1]第３表!$F$80:$Q$136,MATCH([1]設定!$D51,[1]第３表!$C$80:$C$136,0),11),[1]設定!$H51))</f>
        <v>116</v>
      </c>
      <c r="P37" s="55">
        <f>IF($D37="","",IF([1]設定!$H51="",INDEX([1]第３表!$F$80:$Q$136,MATCH([1]設定!$D51,[1]第３表!$C$80:$C$136,0),12),[1]設定!$H51))</f>
        <v>2.7</v>
      </c>
    </row>
    <row r="38" spans="2:17" s="8" customFormat="1" ht="17.25" customHeight="1" x14ac:dyDescent="0.45">
      <c r="B38" s="49" t="str">
        <f>+[2]第５表!B38</f>
        <v>E31</v>
      </c>
      <c r="C38" s="50"/>
      <c r="D38" s="65" t="str">
        <f>+[2]第５表!D38</f>
        <v>輸送用機械器具</v>
      </c>
      <c r="E38" s="55">
        <f>IF($D38="","",IF([1]設定!$H52="",INDEX([1]第３表!$F$80:$Q$136,MATCH([1]設定!$D52,[1]第３表!$C$80:$C$136,0),1),[1]設定!$H52))</f>
        <v>15.7</v>
      </c>
      <c r="F38" s="55">
        <f>IF($D38="","",IF([1]設定!$H52="",INDEX([1]第３表!$F$80:$Q$136,MATCH([1]設定!$D52,[1]第３表!$C$80:$C$136,0),2),[1]設定!$H52))</f>
        <v>145.30000000000001</v>
      </c>
      <c r="G38" s="55">
        <f>IF($D38="","",IF([1]設定!$H52="",INDEX([1]第３表!$F$80:$Q$136,MATCH([1]設定!$D52,[1]第３表!$C$80:$C$136,0),3),[1]設定!$H52))</f>
        <v>126.8</v>
      </c>
      <c r="H38" s="55">
        <f>IF($D38="","",IF([1]設定!$H52="",INDEX([1]第３表!$F$80:$Q$136,MATCH([1]設定!$D52,[1]第３表!$C$80:$C$136,0),4),[1]設定!$H52))</f>
        <v>18.5</v>
      </c>
      <c r="I38" s="55">
        <f>IF($D38="","",IF([1]設定!$H52="",INDEX([1]第３表!$F$80:$Q$136,MATCH([1]設定!$D52,[1]第３表!$C$80:$C$136,0),5),[1]設定!$H52))</f>
        <v>15.7</v>
      </c>
      <c r="J38" s="55">
        <f>IF($D38="","",IF([1]設定!$H52="",INDEX([1]第３表!$F$80:$Q$136,MATCH([1]設定!$D52,[1]第３表!$C$80:$C$136,0),6),[1]設定!$H52))</f>
        <v>147.5</v>
      </c>
      <c r="K38" s="55">
        <f>IF($D38="","",IF([1]設定!$H52="",INDEX([1]第３表!$F$80:$Q$136,MATCH([1]設定!$D52,[1]第３表!$C$80:$C$136,0),7),[1]設定!$H52))</f>
        <v>127.4</v>
      </c>
      <c r="L38" s="55">
        <f>IF($D38="","",IF([1]設定!$H52="",INDEX([1]第３表!$F$80:$Q$136,MATCH([1]設定!$D52,[1]第３表!$C$80:$C$136,0),8),[1]設定!$H52))</f>
        <v>20.100000000000001</v>
      </c>
      <c r="M38" s="55">
        <f>IF($D38="","",IF([1]設定!$H52="",INDEX([1]第３表!$F$80:$Q$136,MATCH([1]設定!$D52,[1]第３表!$C$80:$C$136,0),9),[1]設定!$H52))</f>
        <v>15.8</v>
      </c>
      <c r="N38" s="55">
        <f>IF($D38="","",IF([1]設定!$H52="",INDEX([1]第３表!$F$80:$Q$136,MATCH([1]設定!$D52,[1]第３表!$C$80:$C$136,0),10),[1]設定!$H52))</f>
        <v>135.6</v>
      </c>
      <c r="O38" s="55">
        <f>IF($D38="","",IF([1]設定!$H52="",INDEX([1]第３表!$F$80:$Q$136,MATCH([1]設定!$D52,[1]第３表!$C$80:$C$136,0),11),[1]設定!$H52))</f>
        <v>124.2</v>
      </c>
      <c r="P38" s="55">
        <f>IF($D38="","",IF([1]設定!$H52="",INDEX([1]第３表!$F$80:$Q$136,MATCH([1]設定!$D52,[1]第３表!$C$80:$C$136,0),12),[1]設定!$H52))</f>
        <v>11.4</v>
      </c>
    </row>
    <row r="39" spans="2:17" s="8" customFormat="1" ht="17.25" customHeight="1" x14ac:dyDescent="0.45">
      <c r="B39" s="66" t="str">
        <f>+[2]第５表!B39</f>
        <v>ES</v>
      </c>
      <c r="C39" s="67"/>
      <c r="D39" s="68" t="str">
        <f>+[2]第５表!D39</f>
        <v>はん用・生産用機械器具</v>
      </c>
      <c r="E39" s="69">
        <f>IF($D39="","",IF([1]設定!$H53="",INDEX([1]第３表!$F$80:$Q$136,MATCH([1]設定!$D53,[1]第３表!$C$80:$C$136,0),1),[1]設定!$H53))</f>
        <v>18.8</v>
      </c>
      <c r="F39" s="69">
        <f>IF($D39="","",IF([1]設定!$H53="",INDEX([1]第３表!$F$80:$Q$136,MATCH([1]設定!$D53,[1]第３表!$C$80:$C$136,0),2),[1]設定!$H53))</f>
        <v>163.1</v>
      </c>
      <c r="G39" s="69">
        <f>IF($D39="","",IF([1]設定!$H53="",INDEX([1]第３表!$F$80:$Q$136,MATCH([1]設定!$D53,[1]第３表!$C$80:$C$136,0),3),[1]設定!$H53))</f>
        <v>142.6</v>
      </c>
      <c r="H39" s="69">
        <f>IF($D39="","",IF([1]設定!$H53="",INDEX([1]第３表!$F$80:$Q$136,MATCH([1]設定!$D53,[1]第３表!$C$80:$C$136,0),4),[1]設定!$H53))</f>
        <v>20.5</v>
      </c>
      <c r="I39" s="69">
        <f>IF($D39="","",IF([1]設定!$H53="",INDEX([1]第３表!$F$80:$Q$136,MATCH([1]設定!$D53,[1]第３表!$C$80:$C$136,0),5),[1]設定!$H53))</f>
        <v>19.7</v>
      </c>
      <c r="J39" s="69">
        <f>IF($D39="","",IF([1]設定!$H53="",INDEX([1]第３表!$F$80:$Q$136,MATCH([1]設定!$D53,[1]第３表!$C$80:$C$136,0),6),[1]設定!$H53))</f>
        <v>174.2</v>
      </c>
      <c r="K39" s="69">
        <f>IF($D39="","",IF([1]設定!$H53="",INDEX([1]第３表!$F$80:$Q$136,MATCH([1]設定!$D53,[1]第３表!$C$80:$C$136,0),7),[1]設定!$H53))</f>
        <v>146.6</v>
      </c>
      <c r="L39" s="69">
        <f>IF($D39="","",IF([1]設定!$H53="",INDEX([1]第３表!$F$80:$Q$136,MATCH([1]設定!$D53,[1]第３表!$C$80:$C$136,0),8),[1]設定!$H53))</f>
        <v>27.6</v>
      </c>
      <c r="M39" s="69">
        <f>IF($D39="","",IF([1]設定!$H53="",INDEX([1]第３表!$F$80:$Q$136,MATCH([1]設定!$D53,[1]第３表!$C$80:$C$136,0),9),[1]設定!$H53))</f>
        <v>16.7</v>
      </c>
      <c r="N39" s="69">
        <f>IF($D39="","",IF([1]設定!$H53="",INDEX([1]第３表!$F$80:$Q$136,MATCH([1]設定!$D53,[1]第３表!$C$80:$C$136,0),10),[1]設定!$H53))</f>
        <v>139.4</v>
      </c>
      <c r="O39" s="69">
        <f>IF($D39="","",IF([1]設定!$H53="",INDEX([1]第３表!$F$80:$Q$136,MATCH([1]設定!$D53,[1]第３表!$C$80:$C$136,0),11),[1]設定!$H53))</f>
        <v>134.1</v>
      </c>
      <c r="P39" s="69">
        <f>IF($D39="","",IF([1]設定!$H53="",INDEX([1]第３表!$F$80:$Q$136,MATCH([1]設定!$D53,[1]第３表!$C$80:$C$136,0),12),[1]設定!$H53))</f>
        <v>5.3</v>
      </c>
    </row>
    <row r="40" spans="2:17" s="8" customFormat="1" ht="16.2" customHeight="1" x14ac:dyDescent="0.45">
      <c r="B40" s="70" t="str">
        <f>+[2]第５表!B40</f>
        <v>R91</v>
      </c>
      <c r="C40" s="71"/>
      <c r="D40" s="72" t="str">
        <f>+[2]第５表!D40</f>
        <v>職業紹介・労働者派遣業</v>
      </c>
      <c r="E40" s="73">
        <f>IF($D40="","",IF([1]設定!$H54="",INDEX([1]第３表!$F$80:$Q$136,MATCH([1]設定!$D54,[1]第３表!$C$80:$C$136,0),1),[1]設定!$H54))</f>
        <v>17</v>
      </c>
      <c r="F40" s="73">
        <f>IF($D40="","",IF([1]設定!$H54="",INDEX([1]第３表!$F$80:$Q$136,MATCH([1]設定!$D54,[1]第３表!$C$80:$C$136,0),2),[1]設定!$H54))</f>
        <v>139.9</v>
      </c>
      <c r="G40" s="73">
        <f>IF($D40="","",IF([1]設定!$H54="",INDEX([1]第３表!$F$80:$Q$136,MATCH([1]設定!$D54,[1]第３表!$C$80:$C$136,0),3),[1]設定!$H54))</f>
        <v>132.5</v>
      </c>
      <c r="H40" s="73">
        <f>IF($D40="","",IF([1]設定!$H54="",INDEX([1]第３表!$F$80:$Q$136,MATCH([1]設定!$D54,[1]第３表!$C$80:$C$136,0),4),[1]設定!$H54))</f>
        <v>7.4</v>
      </c>
      <c r="I40" s="73">
        <f>IF($D40="","",IF([1]設定!$H54="",INDEX([1]第３表!$F$80:$Q$136,MATCH([1]設定!$D54,[1]第３表!$C$80:$C$136,0),5),[1]設定!$H54))</f>
        <v>17.3</v>
      </c>
      <c r="J40" s="73">
        <f>IF($D40="","",IF([1]設定!$H54="",INDEX([1]第３表!$F$80:$Q$136,MATCH([1]設定!$D54,[1]第３表!$C$80:$C$136,0),6),[1]設定!$H54))</f>
        <v>153.1</v>
      </c>
      <c r="K40" s="73">
        <f>IF($D40="","",IF([1]設定!$H54="",INDEX([1]第３表!$F$80:$Q$136,MATCH([1]設定!$D54,[1]第３表!$C$80:$C$136,0),7),[1]設定!$H54))</f>
        <v>142.6</v>
      </c>
      <c r="L40" s="73">
        <f>IF($D40="","",IF([1]設定!$H54="",INDEX([1]第３表!$F$80:$Q$136,MATCH([1]設定!$D54,[1]第３表!$C$80:$C$136,0),8),[1]設定!$H54))</f>
        <v>10.5</v>
      </c>
      <c r="M40" s="73">
        <f>IF($D40="","",IF([1]設定!$H54="",INDEX([1]第３表!$F$80:$Q$136,MATCH([1]設定!$D54,[1]第３表!$C$80:$C$136,0),9),[1]設定!$H54))</f>
        <v>16.7</v>
      </c>
      <c r="N40" s="73">
        <f>IF($D40="","",IF([1]設定!$H54="",INDEX([1]第３表!$F$80:$Q$136,MATCH([1]設定!$D54,[1]第３表!$C$80:$C$136,0),10),[1]設定!$H54))</f>
        <v>129.1</v>
      </c>
      <c r="O40" s="73">
        <f>IF($D40="","",IF([1]設定!$H54="",INDEX([1]第３表!$F$80:$Q$136,MATCH([1]設定!$D54,[1]第３表!$C$80:$C$136,0),11),[1]設定!$H54))</f>
        <v>124.3</v>
      </c>
      <c r="P40" s="73">
        <f>IF($D40="","",IF([1]設定!$H54="",INDEX([1]第３表!$F$80:$Q$136,MATCH([1]設定!$D54,[1]第３表!$C$80:$C$136,0),12),[1]設定!$H54))</f>
        <v>4.8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IF($D47="","",IF([1]設定!$I23="",INDEX([1]第３表!$F$10:$Q$66,MATCH([1]設定!$D23,[1]第３表!$C$10:$C$66,0),1),[1]設定!$I23))</f>
        <v>17.8</v>
      </c>
      <c r="F47" s="48">
        <f>IF($D47="","",IF([1]設定!$I23="",INDEX([1]第３表!$F$10:$Q$66,MATCH([1]設定!$D23,[1]第３表!$C$10:$C$66,0),2),[1]設定!$I23))</f>
        <v>139.1</v>
      </c>
      <c r="G47" s="48">
        <f>IF($D47="","",IF([1]設定!$I23="",INDEX([1]第３表!$F$10:$Q$66,MATCH([1]設定!$D23,[1]第３表!$C$10:$C$66,0),3),[1]設定!$I23))</f>
        <v>128.30000000000001</v>
      </c>
      <c r="H47" s="48">
        <f>IF($D47="","",IF([1]設定!$I23="",INDEX([1]第３表!$F$10:$Q$66,MATCH([1]設定!$D23,[1]第３表!$C$10:$C$66,0),4),[1]設定!$I23))</f>
        <v>10.8</v>
      </c>
      <c r="I47" s="48">
        <f>IF($D47="","",IF([1]設定!$I23="",INDEX([1]第３表!$F$10:$Q$66,MATCH([1]設定!$D23,[1]第３表!$C$10:$C$66,0),5),[1]設定!$I23))</f>
        <v>18.100000000000001</v>
      </c>
      <c r="J47" s="48">
        <f>IF($D47="","",IF([1]設定!$I23="",INDEX([1]第３表!$F$10:$Q$66,MATCH([1]設定!$D23,[1]第３表!$C$10:$C$66,0),6),[1]設定!$I23))</f>
        <v>150</v>
      </c>
      <c r="K47" s="48">
        <f>IF($D47="","",IF([1]設定!$I23="",INDEX([1]第３表!$F$10:$Q$66,MATCH([1]設定!$D23,[1]第３表!$C$10:$C$66,0),7),[1]設定!$I23))</f>
        <v>135.19999999999999</v>
      </c>
      <c r="L47" s="48">
        <f>IF($D47="","",IF([1]設定!$I23="",INDEX([1]第３表!$F$10:$Q$66,MATCH([1]設定!$D23,[1]第３表!$C$10:$C$66,0),8),[1]設定!$I23))</f>
        <v>14.8</v>
      </c>
      <c r="M47" s="48">
        <f>IF($D47="","",IF([1]設定!$I23="",INDEX([1]第３表!$F$10:$Q$66,MATCH([1]設定!$D23,[1]第３表!$C$10:$C$66,0),9),[1]設定!$I23))</f>
        <v>17.5</v>
      </c>
      <c r="N47" s="48">
        <f>IF($D47="","",IF([1]設定!$I23="",INDEX([1]第３表!$F$10:$Q$66,MATCH([1]設定!$D23,[1]第３表!$C$10:$C$66,0),10),[1]設定!$I23))</f>
        <v>128.69999999999999</v>
      </c>
      <c r="O47" s="48">
        <f>IF($D47="","",IF([1]設定!$I23="",INDEX([1]第３表!$F$10:$Q$66,MATCH([1]設定!$D23,[1]第３表!$C$10:$C$66,0),11),[1]設定!$I23))</f>
        <v>121.7</v>
      </c>
      <c r="P47" s="48">
        <f>IF($D47="","",IF([1]設定!$I23="",INDEX([1]第３表!$F$10:$Q$66,MATCH([1]設定!$D23,[1]第３表!$C$10:$C$66,0),12),[1]設定!$I23))</f>
        <v>7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IF($D48="","",IF([1]設定!$I24="",INDEX([1]第３表!$F$10:$Q$66,MATCH([1]設定!$D24,[1]第３表!$C$10:$C$66,0),1),[1]設定!$I24))</f>
        <v>18.600000000000001</v>
      </c>
      <c r="F48" s="52">
        <f>IF($D48="","",IF([1]設定!$I24="",INDEX([1]第３表!$F$10:$Q$66,MATCH([1]設定!$D24,[1]第３表!$C$10:$C$66,0),2),[1]設定!$I24))</f>
        <v>147.69999999999999</v>
      </c>
      <c r="G48" s="52">
        <f>IF($D48="","",IF([1]設定!$I24="",INDEX([1]第３表!$F$10:$Q$66,MATCH([1]設定!$D24,[1]第３表!$C$10:$C$66,0),3),[1]設定!$I24))</f>
        <v>137.4</v>
      </c>
      <c r="H48" s="53">
        <f>IF($D48="","",IF([1]設定!$I24="",INDEX([1]第３表!$F$10:$Q$66,MATCH([1]設定!$D24,[1]第３表!$C$10:$C$66,0),4),[1]設定!$I24))</f>
        <v>10.3</v>
      </c>
      <c r="I48" s="54">
        <f>IF($D48="","",IF([1]設定!$I24="",INDEX([1]第３表!$F$10:$Q$66,MATCH([1]設定!$D24,[1]第３表!$C$10:$C$66,0),5),[1]設定!$I24))</f>
        <v>18.8</v>
      </c>
      <c r="J48" s="54">
        <f>IF($D48="","",IF([1]設定!$I24="",INDEX([1]第３表!$F$10:$Q$66,MATCH([1]設定!$D24,[1]第３表!$C$10:$C$66,0),6),[1]設定!$I24))</f>
        <v>150.4</v>
      </c>
      <c r="K48" s="54">
        <f>IF($D48="","",IF([1]設定!$I24="",INDEX([1]第３表!$F$10:$Q$66,MATCH([1]設定!$D24,[1]第３表!$C$10:$C$66,0),7),[1]設定!$I24))</f>
        <v>139</v>
      </c>
      <c r="L48" s="55">
        <f>IF($D48="","",IF([1]設定!$I24="",INDEX([1]第３表!$F$10:$Q$66,MATCH([1]設定!$D24,[1]第３表!$C$10:$C$66,0),8),[1]設定!$I24))</f>
        <v>11.4</v>
      </c>
      <c r="M48" s="56">
        <f>IF($D48="","",IF([1]設定!$I24="",INDEX([1]第３表!$F$10:$Q$66,MATCH([1]設定!$D24,[1]第３表!$C$10:$C$66,0),9),[1]設定!$I24))</f>
        <v>17.600000000000001</v>
      </c>
      <c r="N48" s="56">
        <f>IF($D48="","",IF([1]設定!$I24="",INDEX([1]第３表!$F$10:$Q$66,MATCH([1]設定!$D24,[1]第３表!$C$10:$C$66,0),10),[1]設定!$I24))</f>
        <v>136.19999999999999</v>
      </c>
      <c r="O48" s="56">
        <f>IF($D48="","",IF([1]設定!$I24="",INDEX([1]第３表!$F$10:$Q$66,MATCH([1]設定!$D24,[1]第３表!$C$10:$C$66,0),11),[1]設定!$I24))</f>
        <v>130.5</v>
      </c>
      <c r="P48" s="57">
        <f>IF($D48="","",IF([1]設定!$I24="",INDEX([1]第３表!$F$10:$Q$66,MATCH([1]設定!$D24,[1]第３表!$C$10:$C$66,0),12),[1]設定!$I24))</f>
        <v>5.7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IF($D49="","",IF([1]設定!$I25="",INDEX([1]第３表!$F$10:$Q$66,MATCH([1]設定!$D25,[1]第３表!$C$10:$C$66,0),1),[1]設定!$I25))</f>
        <v>17.7</v>
      </c>
      <c r="F49" s="52">
        <f>IF($D49="","",IF([1]設定!$I25="",INDEX([1]第３表!$F$10:$Q$66,MATCH([1]設定!$D25,[1]第３表!$C$10:$C$66,0),2),[1]設定!$I25))</f>
        <v>148</v>
      </c>
      <c r="G49" s="52">
        <f>IF($D49="","",IF([1]設定!$I25="",INDEX([1]第３表!$F$10:$Q$66,MATCH([1]設定!$D25,[1]第３表!$C$10:$C$66,0),3),[1]設定!$I25))</f>
        <v>133.6</v>
      </c>
      <c r="H49" s="53">
        <f>IF($D49="","",IF([1]設定!$I25="",INDEX([1]第３表!$F$10:$Q$66,MATCH([1]設定!$D25,[1]第３表!$C$10:$C$66,0),4),[1]設定!$I25))</f>
        <v>14.4</v>
      </c>
      <c r="I49" s="54">
        <f>IF($D49="","",IF([1]設定!$I25="",INDEX([1]第３表!$F$10:$Q$66,MATCH([1]設定!$D25,[1]第３表!$C$10:$C$66,0),5),[1]設定!$I25))</f>
        <v>17.899999999999999</v>
      </c>
      <c r="J49" s="54">
        <f>IF($D49="","",IF([1]設定!$I25="",INDEX([1]第３表!$F$10:$Q$66,MATCH([1]設定!$D25,[1]第３表!$C$10:$C$66,0),6),[1]設定!$I25))</f>
        <v>154.4</v>
      </c>
      <c r="K49" s="54">
        <f>IF($D49="","",IF([1]設定!$I25="",INDEX([1]第３表!$F$10:$Q$66,MATCH([1]設定!$D25,[1]第３表!$C$10:$C$66,0),7),[1]設定!$I25))</f>
        <v>137.1</v>
      </c>
      <c r="L49" s="55">
        <f>IF($D49="","",IF([1]設定!$I25="",INDEX([1]第３表!$F$10:$Q$66,MATCH([1]設定!$D25,[1]第３表!$C$10:$C$66,0),8),[1]設定!$I25))</f>
        <v>17.3</v>
      </c>
      <c r="M49" s="56">
        <f>IF($D49="","",IF([1]設定!$I25="",INDEX([1]第３表!$F$10:$Q$66,MATCH([1]設定!$D25,[1]第３表!$C$10:$C$66,0),9),[1]設定!$I25))</f>
        <v>17.3</v>
      </c>
      <c r="N49" s="56">
        <f>IF($D49="","",IF([1]設定!$I25="",INDEX([1]第３表!$F$10:$Q$66,MATCH([1]設定!$D25,[1]第３表!$C$10:$C$66,0),10),[1]設定!$I25))</f>
        <v>137.5</v>
      </c>
      <c r="O49" s="56">
        <f>IF($D49="","",IF([1]設定!$I25="",INDEX([1]第３表!$F$10:$Q$66,MATCH([1]設定!$D25,[1]第３表!$C$10:$C$66,0),11),[1]設定!$I25))</f>
        <v>127.9</v>
      </c>
      <c r="P49" s="57">
        <f>IF($D49="","",IF([1]設定!$I25="",INDEX([1]第３表!$F$10:$Q$66,MATCH([1]設定!$D25,[1]第３表!$C$10:$C$66,0),12),[1]設定!$I25))</f>
        <v>9.6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IF($D50="","",IF([1]設定!$I26="",INDEX([1]第３表!$F$10:$Q$66,MATCH([1]設定!$D26,[1]第３表!$C$10:$C$66,0),1),[1]設定!$I26))</f>
        <v>17.2</v>
      </c>
      <c r="F50" s="52">
        <f>IF($D50="","",IF([1]設定!$I26="",INDEX([1]第３表!$F$10:$Q$66,MATCH([1]設定!$D26,[1]第３表!$C$10:$C$66,0),2),[1]設定!$I26))</f>
        <v>140.4</v>
      </c>
      <c r="G50" s="52">
        <f>IF($D50="","",IF([1]設定!$I26="",INDEX([1]第３表!$F$10:$Q$66,MATCH([1]設定!$D26,[1]第３表!$C$10:$C$66,0),3),[1]設定!$I26))</f>
        <v>126.4</v>
      </c>
      <c r="H50" s="53">
        <f>IF($D50="","",IF([1]設定!$I26="",INDEX([1]第３表!$F$10:$Q$66,MATCH([1]設定!$D26,[1]第３表!$C$10:$C$66,0),4),[1]設定!$I26))</f>
        <v>14</v>
      </c>
      <c r="I50" s="54">
        <f>IF($D50="","",IF([1]設定!$I26="",INDEX([1]第３表!$F$10:$Q$66,MATCH([1]設定!$D26,[1]第３表!$C$10:$C$66,0),5),[1]設定!$I26))</f>
        <v>17.100000000000001</v>
      </c>
      <c r="J50" s="54">
        <f>IF($D50="","",IF([1]設定!$I26="",INDEX([1]第３表!$F$10:$Q$66,MATCH([1]設定!$D26,[1]第３表!$C$10:$C$66,0),6),[1]設定!$I26))</f>
        <v>142.30000000000001</v>
      </c>
      <c r="K50" s="54">
        <f>IF($D50="","",IF([1]設定!$I26="",INDEX([1]第３表!$F$10:$Q$66,MATCH([1]設定!$D26,[1]第３表!$C$10:$C$66,0),7),[1]設定!$I26))</f>
        <v>126.9</v>
      </c>
      <c r="L50" s="55">
        <f>IF($D50="","",IF([1]設定!$I26="",INDEX([1]第３表!$F$10:$Q$66,MATCH([1]設定!$D26,[1]第３表!$C$10:$C$66,0),8),[1]設定!$I26))</f>
        <v>15.4</v>
      </c>
      <c r="M50" s="56">
        <f>IF($D50="","",IF([1]設定!$I26="",INDEX([1]第３表!$F$10:$Q$66,MATCH([1]設定!$D26,[1]第３表!$C$10:$C$66,0),9),[1]設定!$I26))</f>
        <v>17.3</v>
      </c>
      <c r="N50" s="56">
        <f>IF($D50="","",IF([1]設定!$I26="",INDEX([1]第３表!$F$10:$Q$66,MATCH([1]設定!$D26,[1]第３表!$C$10:$C$66,0),10),[1]設定!$I26))</f>
        <v>129</v>
      </c>
      <c r="O50" s="56">
        <f>IF($D50="","",IF([1]設定!$I26="",INDEX([1]第３表!$F$10:$Q$66,MATCH([1]設定!$D26,[1]第３表!$C$10:$C$66,0),11),[1]設定!$I26))</f>
        <v>123.5</v>
      </c>
      <c r="P50" s="57">
        <f>IF($D50="","",IF([1]設定!$I26="",INDEX([1]第３表!$F$10:$Q$66,MATCH([1]設定!$D26,[1]第３表!$C$10:$C$66,0),12),[1]設定!$I26))</f>
        <v>5.5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IF($D51="","",IF([1]設定!$I27="",INDEX([1]第３表!$F$10:$Q$66,MATCH([1]設定!$D27,[1]第３表!$C$10:$C$66,0),1),[1]設定!$I27))</f>
        <v>17.2</v>
      </c>
      <c r="F51" s="52">
        <f>IF($D51="","",IF([1]設定!$I27="",INDEX([1]第３表!$F$10:$Q$66,MATCH([1]設定!$D27,[1]第３表!$C$10:$C$66,0),2),[1]設定!$I27))</f>
        <v>148.30000000000001</v>
      </c>
      <c r="G51" s="52">
        <f>IF($D51="","",IF([1]設定!$I27="",INDEX([1]第３表!$F$10:$Q$66,MATCH([1]設定!$D27,[1]第３表!$C$10:$C$66,0),3),[1]設定!$I27))</f>
        <v>134.6</v>
      </c>
      <c r="H51" s="53">
        <f>IF($D51="","",IF([1]設定!$I27="",INDEX([1]第３表!$F$10:$Q$66,MATCH([1]設定!$D27,[1]第３表!$C$10:$C$66,0),4),[1]設定!$I27))</f>
        <v>13.7</v>
      </c>
      <c r="I51" s="54">
        <f>IF($D51="","",IF([1]設定!$I27="",INDEX([1]第３表!$F$10:$Q$66,MATCH([1]設定!$D27,[1]第３表!$C$10:$C$66,0),5),[1]設定!$I27))</f>
        <v>17.3</v>
      </c>
      <c r="J51" s="54">
        <f>IF($D51="","",IF([1]設定!$I27="",INDEX([1]第３表!$F$10:$Q$66,MATCH([1]設定!$D27,[1]第３表!$C$10:$C$66,0),6),[1]設定!$I27))</f>
        <v>150.4</v>
      </c>
      <c r="K51" s="54">
        <f>IF($D51="","",IF([1]設定!$I27="",INDEX([1]第３表!$F$10:$Q$66,MATCH([1]設定!$D27,[1]第３表!$C$10:$C$66,0),7),[1]設定!$I27))</f>
        <v>135.30000000000001</v>
      </c>
      <c r="L51" s="55">
        <f>IF($D51="","",IF([1]設定!$I27="",INDEX([1]第３表!$F$10:$Q$66,MATCH([1]設定!$D27,[1]第３表!$C$10:$C$66,0),8),[1]設定!$I27))</f>
        <v>15.1</v>
      </c>
      <c r="M51" s="56">
        <f>IF($D51="","",IF([1]設定!$I27="",INDEX([1]第３表!$F$10:$Q$66,MATCH([1]設定!$D27,[1]第３表!$C$10:$C$66,0),9),[1]設定!$I27))</f>
        <v>17</v>
      </c>
      <c r="N51" s="56">
        <f>IF($D51="","",IF([1]設定!$I27="",INDEX([1]第３表!$F$10:$Q$66,MATCH([1]設定!$D27,[1]第３表!$C$10:$C$66,0),10),[1]設定!$I27))</f>
        <v>143.4</v>
      </c>
      <c r="O51" s="56">
        <f>IF($D51="","",IF([1]設定!$I27="",INDEX([1]第３表!$F$10:$Q$66,MATCH([1]設定!$D27,[1]第３表!$C$10:$C$66,0),11),[1]設定!$I27))</f>
        <v>132.9</v>
      </c>
      <c r="P51" s="57">
        <f>IF($D51="","",IF([1]設定!$I27="",INDEX([1]第３表!$F$10:$Q$66,MATCH([1]設定!$D27,[1]第３表!$C$10:$C$66,0),12),[1]設定!$I27))</f>
        <v>10.5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IF($D52="","",IF([1]設定!$I28="",INDEX([1]第３表!$F$10:$Q$66,MATCH([1]設定!$D28,[1]第３表!$C$10:$C$66,0),1),[1]設定!$I28))</f>
        <v>18.7</v>
      </c>
      <c r="F52" s="52">
        <f>IF($D52="","",IF([1]設定!$I28="",INDEX([1]第３表!$F$10:$Q$66,MATCH([1]設定!$D28,[1]第３表!$C$10:$C$66,0),2),[1]設定!$I28))</f>
        <v>151.1</v>
      </c>
      <c r="G52" s="52">
        <f>IF($D52="","",IF([1]設定!$I28="",INDEX([1]第３表!$F$10:$Q$66,MATCH([1]設定!$D28,[1]第３表!$C$10:$C$66,0),3),[1]設定!$I28))</f>
        <v>131.6</v>
      </c>
      <c r="H52" s="53">
        <f>IF($D52="","",IF([1]設定!$I28="",INDEX([1]第３表!$F$10:$Q$66,MATCH([1]設定!$D28,[1]第３表!$C$10:$C$66,0),4),[1]設定!$I28))</f>
        <v>19.5</v>
      </c>
      <c r="I52" s="54">
        <f>IF($D52="","",IF([1]設定!$I28="",INDEX([1]第３表!$F$10:$Q$66,MATCH([1]設定!$D28,[1]第３表!$C$10:$C$66,0),5),[1]設定!$I28))</f>
        <v>18.899999999999999</v>
      </c>
      <c r="J52" s="54">
        <f>IF($D52="","",IF([1]設定!$I28="",INDEX([1]第３表!$F$10:$Q$66,MATCH([1]設定!$D28,[1]第３表!$C$10:$C$66,0),6),[1]設定!$I28))</f>
        <v>154</v>
      </c>
      <c r="K52" s="54">
        <f>IF($D52="","",IF([1]設定!$I28="",INDEX([1]第３表!$F$10:$Q$66,MATCH([1]設定!$D28,[1]第３表!$C$10:$C$66,0),7),[1]設定!$I28))</f>
        <v>132.4</v>
      </c>
      <c r="L52" s="55">
        <f>IF($D52="","",IF([1]設定!$I28="",INDEX([1]第３表!$F$10:$Q$66,MATCH([1]設定!$D28,[1]第３表!$C$10:$C$66,0),8),[1]設定!$I28))</f>
        <v>21.6</v>
      </c>
      <c r="M52" s="56">
        <f>IF($D52="","",IF([1]設定!$I28="",INDEX([1]第３表!$F$10:$Q$66,MATCH([1]設定!$D28,[1]第３表!$C$10:$C$66,0),9),[1]設定!$I28))</f>
        <v>17.899999999999999</v>
      </c>
      <c r="N52" s="56">
        <f>IF($D52="","",IF([1]設定!$I28="",INDEX([1]第３表!$F$10:$Q$66,MATCH([1]設定!$D28,[1]第３表!$C$10:$C$66,0),10),[1]設定!$I28))</f>
        <v>133.19999999999999</v>
      </c>
      <c r="O52" s="56">
        <f>IF($D52="","",IF([1]設定!$I28="",INDEX([1]第３表!$F$10:$Q$66,MATCH([1]設定!$D28,[1]第３表!$C$10:$C$66,0),11),[1]設定!$I28))</f>
        <v>126.6</v>
      </c>
      <c r="P52" s="57">
        <f>IF($D52="","",IF([1]設定!$I28="",INDEX([1]第３表!$F$10:$Q$66,MATCH([1]設定!$D28,[1]第３表!$C$10:$C$66,0),12),[1]設定!$I28))</f>
        <v>6.6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IF($D53="","",IF([1]設定!$I29="",INDEX([1]第３表!$F$10:$Q$66,MATCH([1]設定!$D29,[1]第３表!$C$10:$C$66,0),1),[1]設定!$I29))</f>
        <v>18.2</v>
      </c>
      <c r="F53" s="52">
        <f>IF($D53="","",IF([1]設定!$I29="",INDEX([1]第３表!$F$10:$Q$66,MATCH([1]設定!$D29,[1]第３表!$C$10:$C$66,0),2),[1]設定!$I29))</f>
        <v>129</v>
      </c>
      <c r="G53" s="52">
        <f>IF($D53="","",IF([1]設定!$I29="",INDEX([1]第３表!$F$10:$Q$66,MATCH([1]設定!$D29,[1]第３表!$C$10:$C$66,0),3),[1]設定!$I29))</f>
        <v>121.1</v>
      </c>
      <c r="H53" s="53">
        <f>IF($D53="","",IF([1]設定!$I29="",INDEX([1]第３表!$F$10:$Q$66,MATCH([1]設定!$D29,[1]第３表!$C$10:$C$66,0),4),[1]設定!$I29))</f>
        <v>7.9</v>
      </c>
      <c r="I53" s="54">
        <f>IF($D53="","",IF([1]設定!$I29="",INDEX([1]第３表!$F$10:$Q$66,MATCH([1]設定!$D29,[1]第３表!$C$10:$C$66,0),5),[1]設定!$I29))</f>
        <v>19.100000000000001</v>
      </c>
      <c r="J53" s="54">
        <f>IF($D53="","",IF([1]設定!$I29="",INDEX([1]第３表!$F$10:$Q$66,MATCH([1]設定!$D29,[1]第３表!$C$10:$C$66,0),6),[1]設定!$I29))</f>
        <v>151.9</v>
      </c>
      <c r="K53" s="54">
        <f>IF($D53="","",IF([1]設定!$I29="",INDEX([1]第３表!$F$10:$Q$66,MATCH([1]設定!$D29,[1]第３表!$C$10:$C$66,0),7),[1]設定!$I29))</f>
        <v>139.1</v>
      </c>
      <c r="L53" s="55">
        <f>IF($D53="","",IF([1]設定!$I29="",INDEX([1]第３表!$F$10:$Q$66,MATCH([1]設定!$D29,[1]第３表!$C$10:$C$66,0),8),[1]設定!$I29))</f>
        <v>12.8</v>
      </c>
      <c r="M53" s="56">
        <f>IF($D53="","",IF([1]設定!$I29="",INDEX([1]第３表!$F$10:$Q$66,MATCH([1]設定!$D29,[1]第３表!$C$10:$C$66,0),9),[1]設定!$I29))</f>
        <v>17.600000000000001</v>
      </c>
      <c r="N53" s="56">
        <f>IF($D53="","",IF([1]設定!$I29="",INDEX([1]第３表!$F$10:$Q$66,MATCH([1]設定!$D29,[1]第３表!$C$10:$C$66,0),10),[1]設定!$I29))</f>
        <v>113.8</v>
      </c>
      <c r="O53" s="56">
        <f>IF($D53="","",IF([1]設定!$I29="",INDEX([1]第３表!$F$10:$Q$66,MATCH([1]設定!$D29,[1]第３表!$C$10:$C$66,0),11),[1]設定!$I29))</f>
        <v>109.2</v>
      </c>
      <c r="P53" s="57">
        <f>IF($D53="","",IF([1]設定!$I29="",INDEX([1]第３表!$F$10:$Q$66,MATCH([1]設定!$D29,[1]第３表!$C$10:$C$66,0),12),[1]設定!$I29))</f>
        <v>4.5999999999999996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>
        <f>IF($D54="","",IF([1]設定!$I30="",INDEX([1]第３表!$F$10:$Q$66,MATCH([1]設定!$D30,[1]第３表!$C$10:$C$66,0),1),[1]設定!$I30))</f>
        <v>17.7</v>
      </c>
      <c r="F54" s="52">
        <f>IF($D54="","",IF([1]設定!$I30="",INDEX([1]第３表!$F$10:$Q$66,MATCH([1]設定!$D30,[1]第３表!$C$10:$C$66,0),2),[1]設定!$I30))</f>
        <v>128.30000000000001</v>
      </c>
      <c r="G54" s="52">
        <f>IF($D54="","",IF([1]設定!$I30="",INDEX([1]第３表!$F$10:$Q$66,MATCH([1]設定!$D30,[1]第３表!$C$10:$C$66,0),3),[1]設定!$I30))</f>
        <v>124.4</v>
      </c>
      <c r="H54" s="53">
        <f>IF($D54="","",IF([1]設定!$I30="",INDEX([1]第３表!$F$10:$Q$66,MATCH([1]設定!$D30,[1]第３表!$C$10:$C$66,0),4),[1]設定!$I30))</f>
        <v>3.9</v>
      </c>
      <c r="I54" s="54">
        <f>IF($D54="","",IF([1]設定!$I30="",INDEX([1]第３表!$F$10:$Q$66,MATCH([1]設定!$D30,[1]第３表!$C$10:$C$66,0),5),[1]設定!$I30))</f>
        <v>17.2</v>
      </c>
      <c r="J54" s="54">
        <f>IF($D54="","",IF([1]設定!$I30="",INDEX([1]第３表!$F$10:$Q$66,MATCH([1]設定!$D30,[1]第３表!$C$10:$C$66,0),6),[1]設定!$I30))</f>
        <v>125.8</v>
      </c>
      <c r="K54" s="54">
        <f>IF($D54="","",IF([1]設定!$I30="",INDEX([1]第３表!$F$10:$Q$66,MATCH([1]設定!$D30,[1]第３表!$C$10:$C$66,0),7),[1]設定!$I30))</f>
        <v>123.4</v>
      </c>
      <c r="L54" s="55">
        <f>IF($D54="","",IF([1]設定!$I30="",INDEX([1]第３表!$F$10:$Q$66,MATCH([1]設定!$D30,[1]第３表!$C$10:$C$66,0),8),[1]設定!$I30))</f>
        <v>2.4</v>
      </c>
      <c r="M54" s="56">
        <f>IF($D54="","",IF([1]設定!$I30="",INDEX([1]第３表!$F$10:$Q$66,MATCH([1]設定!$D30,[1]第３表!$C$10:$C$66,0),9),[1]設定!$I30))</f>
        <v>18.100000000000001</v>
      </c>
      <c r="N54" s="56">
        <f>IF($D54="","",IF([1]設定!$I30="",INDEX([1]第３表!$F$10:$Q$66,MATCH([1]設定!$D30,[1]第３表!$C$10:$C$66,0),10),[1]設定!$I30))</f>
        <v>130.5</v>
      </c>
      <c r="O54" s="56">
        <f>IF($D54="","",IF([1]設定!$I30="",INDEX([1]第３表!$F$10:$Q$66,MATCH([1]設定!$D30,[1]第３表!$C$10:$C$66,0),11),[1]設定!$I30))</f>
        <v>125.3</v>
      </c>
      <c r="P54" s="57">
        <f>IF($D54="","",IF([1]設定!$I30="",INDEX([1]第３表!$F$10:$Q$66,MATCH([1]設定!$D30,[1]第３表!$C$10:$C$66,0),12),[1]設定!$I30))</f>
        <v>5.2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IF($D55="","",IF([1]設定!$I31="",INDEX([1]第３表!$F$10:$Q$66,MATCH([1]設定!$D31,[1]第３表!$C$10:$C$66,0),1),[1]設定!$I31))</f>
        <v>17.8</v>
      </c>
      <c r="F55" s="52">
        <f>IF($D55="","",IF([1]設定!$I31="",INDEX([1]第３表!$F$10:$Q$66,MATCH([1]設定!$D31,[1]第３表!$C$10:$C$66,0),2),[1]設定!$I31))</f>
        <v>135.69999999999999</v>
      </c>
      <c r="G55" s="52">
        <f>IF($D55="","",IF([1]設定!$I31="",INDEX([1]第３表!$F$10:$Q$66,MATCH([1]設定!$D31,[1]第３表!$C$10:$C$66,0),3),[1]設定!$I31))</f>
        <v>133</v>
      </c>
      <c r="H55" s="52">
        <f>IF($D55="","",IF([1]設定!$I31="",INDEX([1]第３表!$F$10:$Q$66,MATCH([1]設定!$D31,[1]第３表!$C$10:$C$66,0),4),[1]設定!$I31))</f>
        <v>2.7</v>
      </c>
      <c r="I55" s="54">
        <f>IF($D55="","",IF([1]設定!$I31="",INDEX([1]第３表!$F$10:$Q$66,MATCH([1]設定!$D31,[1]第３表!$C$10:$C$66,0),5),[1]設定!$I31))</f>
        <v>18.399999999999999</v>
      </c>
      <c r="J55" s="54">
        <f>IF($D55="","",IF([1]設定!$I31="",INDEX([1]第３表!$F$10:$Q$66,MATCH([1]設定!$D31,[1]第３表!$C$10:$C$66,0),6),[1]設定!$I31))</f>
        <v>147.30000000000001</v>
      </c>
      <c r="K55" s="54">
        <f>IF($D55="","",IF([1]設定!$I31="",INDEX([1]第３表!$F$10:$Q$66,MATCH([1]設定!$D31,[1]第３表!$C$10:$C$66,0),7),[1]設定!$I31))</f>
        <v>143.1</v>
      </c>
      <c r="L55" s="55">
        <f>IF($D55="","",IF([1]設定!$I31="",INDEX([1]第３表!$F$10:$Q$66,MATCH([1]設定!$D31,[1]第３表!$C$10:$C$66,0),8),[1]設定!$I31))</f>
        <v>4.2</v>
      </c>
      <c r="M55" s="56">
        <f>IF($D55="","",IF([1]設定!$I31="",INDEX([1]第３表!$F$10:$Q$66,MATCH([1]設定!$D31,[1]第３表!$C$10:$C$66,0),9),[1]設定!$I31))</f>
        <v>16.8</v>
      </c>
      <c r="N55" s="56">
        <f>IF($D55="","",IF([1]設定!$I31="",INDEX([1]第３表!$F$10:$Q$66,MATCH([1]設定!$D31,[1]第３表!$C$10:$C$66,0),10),[1]設定!$I31))</f>
        <v>117.2</v>
      </c>
      <c r="O55" s="56">
        <f>IF($D55="","",IF([1]設定!$I31="",INDEX([1]第３表!$F$10:$Q$66,MATCH([1]設定!$D31,[1]第３表!$C$10:$C$66,0),11),[1]設定!$I31))</f>
        <v>116.8</v>
      </c>
      <c r="P55" s="57">
        <f>IF($D55="","",IF([1]設定!$I31="",INDEX([1]第３表!$F$10:$Q$66,MATCH([1]設定!$D31,[1]第３表!$C$10:$C$66,0),12),[1]設定!$I31))</f>
        <v>0.4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IF($D56="","",IF([1]設定!$I32="",INDEX([1]第３表!$F$10:$Q$66,MATCH([1]設定!$D32,[1]第３表!$C$10:$C$66,0),1),[1]設定!$I32))</f>
        <v>16.7</v>
      </c>
      <c r="F56" s="52">
        <f>IF($D56="","",IF([1]設定!$I32="",INDEX([1]第３表!$F$10:$Q$66,MATCH([1]設定!$D32,[1]第３表!$C$10:$C$66,0),2),[1]設定!$I32))</f>
        <v>142.19999999999999</v>
      </c>
      <c r="G56" s="52">
        <f>IF($D56="","",IF([1]設定!$I32="",INDEX([1]第３表!$F$10:$Q$66,MATCH([1]設定!$D32,[1]第３表!$C$10:$C$66,0),3),[1]設定!$I32))</f>
        <v>129.80000000000001</v>
      </c>
      <c r="H56" s="53">
        <f>IF($D56="","",IF([1]設定!$I32="",INDEX([1]第３表!$F$10:$Q$66,MATCH([1]設定!$D32,[1]第３表!$C$10:$C$66,0),4),[1]設定!$I32))</f>
        <v>12.4</v>
      </c>
      <c r="I56" s="54">
        <f>IF($D56="","",IF([1]設定!$I32="",INDEX([1]第３表!$F$10:$Q$66,MATCH([1]設定!$D32,[1]第３表!$C$10:$C$66,0),5),[1]設定!$I32))</f>
        <v>16.8</v>
      </c>
      <c r="J56" s="54">
        <f>IF($D56="","",IF([1]設定!$I32="",INDEX([1]第３表!$F$10:$Q$66,MATCH([1]設定!$D32,[1]第３表!$C$10:$C$66,0),6),[1]設定!$I32))</f>
        <v>145.1</v>
      </c>
      <c r="K56" s="54">
        <f>IF($D56="","",IF([1]設定!$I32="",INDEX([1]第３表!$F$10:$Q$66,MATCH([1]設定!$D32,[1]第３表!$C$10:$C$66,0),7),[1]設定!$I32))</f>
        <v>130.9</v>
      </c>
      <c r="L56" s="55">
        <f>IF($D56="","",IF([1]設定!$I32="",INDEX([1]第３表!$F$10:$Q$66,MATCH([1]設定!$D32,[1]第３表!$C$10:$C$66,0),8),[1]設定!$I32))</f>
        <v>14.2</v>
      </c>
      <c r="M56" s="56">
        <f>IF($D56="","",IF([1]設定!$I32="",INDEX([1]第３表!$F$10:$Q$66,MATCH([1]設定!$D32,[1]第３表!$C$10:$C$66,0),9),[1]設定!$I32))</f>
        <v>16.3</v>
      </c>
      <c r="N56" s="56">
        <f>IF($D56="","",IF([1]設定!$I32="",INDEX([1]第３表!$F$10:$Q$66,MATCH([1]設定!$D32,[1]第３表!$C$10:$C$66,0),10),[1]設定!$I32))</f>
        <v>132.19999999999999</v>
      </c>
      <c r="O56" s="56">
        <f>IF($D56="","",IF([1]設定!$I32="",INDEX([1]第３表!$F$10:$Q$66,MATCH([1]設定!$D32,[1]第３表!$C$10:$C$66,0),11),[1]設定!$I32))</f>
        <v>126.1</v>
      </c>
      <c r="P56" s="57">
        <f>IF($D56="","",IF([1]設定!$I32="",INDEX([1]第３表!$F$10:$Q$66,MATCH([1]設定!$D32,[1]第３表!$C$10:$C$66,0),12),[1]設定!$I32))</f>
        <v>6.1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IF($D57="","",IF([1]設定!$I33="",INDEX([1]第３表!$F$10:$Q$66,MATCH([1]設定!$D33,[1]第３表!$C$10:$C$66,0),1),[1]設定!$I33))</f>
        <v>14.8</v>
      </c>
      <c r="F57" s="52">
        <f>IF($D57="","",IF([1]設定!$I33="",INDEX([1]第３表!$F$10:$Q$66,MATCH([1]設定!$D33,[1]第３表!$C$10:$C$66,0),2),[1]設定!$I33))</f>
        <v>97</v>
      </c>
      <c r="G57" s="52">
        <f>IF($D57="","",IF([1]設定!$I33="",INDEX([1]第３表!$F$10:$Q$66,MATCH([1]設定!$D33,[1]第３表!$C$10:$C$66,0),3),[1]設定!$I33))</f>
        <v>91.3</v>
      </c>
      <c r="H57" s="53">
        <f>IF($D57="","",IF([1]設定!$I33="",INDEX([1]第３表!$F$10:$Q$66,MATCH([1]設定!$D33,[1]第３表!$C$10:$C$66,0),4),[1]設定!$I33))</f>
        <v>5.7</v>
      </c>
      <c r="I57" s="54">
        <f>IF($D57="","",IF([1]設定!$I33="",INDEX([1]第３表!$F$10:$Q$66,MATCH([1]設定!$D33,[1]第３表!$C$10:$C$66,0),5),[1]設定!$I33))</f>
        <v>15.6</v>
      </c>
      <c r="J57" s="54">
        <f>IF($D57="","",IF([1]設定!$I33="",INDEX([1]第３表!$F$10:$Q$66,MATCH([1]設定!$D33,[1]第３表!$C$10:$C$66,0),6),[1]設定!$I33))</f>
        <v>109.2</v>
      </c>
      <c r="K57" s="54">
        <f>IF($D57="","",IF([1]設定!$I33="",INDEX([1]第３表!$F$10:$Q$66,MATCH([1]設定!$D33,[1]第３表!$C$10:$C$66,0),7),[1]設定!$I33))</f>
        <v>100.2</v>
      </c>
      <c r="L57" s="55">
        <f>IF($D57="","",IF([1]設定!$I33="",INDEX([1]第３表!$F$10:$Q$66,MATCH([1]設定!$D33,[1]第３表!$C$10:$C$66,0),8),[1]設定!$I33))</f>
        <v>9</v>
      </c>
      <c r="M57" s="56">
        <f>IF($D57="","",IF([1]設定!$I33="",INDEX([1]第３表!$F$10:$Q$66,MATCH([1]設定!$D33,[1]第３表!$C$10:$C$66,0),9),[1]設定!$I33))</f>
        <v>14.4</v>
      </c>
      <c r="N57" s="56">
        <f>IF($D57="","",IF([1]設定!$I33="",INDEX([1]第３表!$F$10:$Q$66,MATCH([1]設定!$D33,[1]第３表!$C$10:$C$66,0),10),[1]設定!$I33))</f>
        <v>90.3</v>
      </c>
      <c r="O57" s="56">
        <f>IF($D57="","",IF([1]設定!$I33="",INDEX([1]第３表!$F$10:$Q$66,MATCH([1]設定!$D33,[1]第３表!$C$10:$C$66,0),11),[1]設定!$I33))</f>
        <v>86.4</v>
      </c>
      <c r="P57" s="57">
        <f>IF($D57="","",IF([1]設定!$I33="",INDEX([1]第３表!$F$10:$Q$66,MATCH([1]設定!$D33,[1]第３表!$C$10:$C$66,0),12),[1]設定!$I33))</f>
        <v>3.9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f>IF($D58="","",IF([1]設定!$I34="",INDEX([1]第３表!$F$10:$Q$66,MATCH([1]設定!$D34,[1]第３表!$C$10:$C$66,0),1),[1]設定!$I34))</f>
        <v>17</v>
      </c>
      <c r="F58" s="52">
        <f>IF($D58="","",IF([1]設定!$I34="",INDEX([1]第３表!$F$10:$Q$66,MATCH([1]設定!$D34,[1]第３表!$C$10:$C$66,0),2),[1]設定!$I34))</f>
        <v>134.80000000000001</v>
      </c>
      <c r="G58" s="52">
        <f>IF($D58="","",IF([1]設定!$I34="",INDEX([1]第３表!$F$10:$Q$66,MATCH([1]設定!$D34,[1]第３表!$C$10:$C$66,0),3),[1]設定!$I34))</f>
        <v>121.9</v>
      </c>
      <c r="H58" s="53">
        <f>IF($D58="","",IF([1]設定!$I34="",INDEX([1]第３表!$F$10:$Q$66,MATCH([1]設定!$D34,[1]第３表!$C$10:$C$66,0),4),[1]設定!$I34))</f>
        <v>12.9</v>
      </c>
      <c r="I58" s="54">
        <f>IF($D58="","",IF([1]設定!$I34="",INDEX([1]第３表!$F$10:$Q$66,MATCH([1]設定!$D34,[1]第３表!$C$10:$C$66,0),5),[1]設定!$I34))</f>
        <v>17.3</v>
      </c>
      <c r="J58" s="54">
        <f>IF($D58="","",IF([1]設定!$I34="",INDEX([1]第３表!$F$10:$Q$66,MATCH([1]設定!$D34,[1]第３表!$C$10:$C$66,0),6),[1]設定!$I34))</f>
        <v>149</v>
      </c>
      <c r="K58" s="54">
        <f>IF($D58="","",IF([1]設定!$I34="",INDEX([1]第３表!$F$10:$Q$66,MATCH([1]設定!$D34,[1]第３表!$C$10:$C$66,0),7),[1]設定!$I34))</f>
        <v>135.30000000000001</v>
      </c>
      <c r="L58" s="55">
        <f>IF($D58="","",IF([1]設定!$I34="",INDEX([1]第３表!$F$10:$Q$66,MATCH([1]設定!$D34,[1]第３表!$C$10:$C$66,0),8),[1]設定!$I34))</f>
        <v>13.7</v>
      </c>
      <c r="M58" s="56">
        <f>IF($D58="","",IF([1]設定!$I34="",INDEX([1]第３表!$F$10:$Q$66,MATCH([1]設定!$D34,[1]第３表!$C$10:$C$66,0),9),[1]設定!$I34))</f>
        <v>16.7</v>
      </c>
      <c r="N58" s="56">
        <f>IF($D58="","",IF([1]設定!$I34="",INDEX([1]第３表!$F$10:$Q$66,MATCH([1]設定!$D34,[1]第３表!$C$10:$C$66,0),10),[1]設定!$I34))</f>
        <v>117.8</v>
      </c>
      <c r="O58" s="56">
        <f>IF($D58="","",IF([1]設定!$I34="",INDEX([1]第３表!$F$10:$Q$66,MATCH([1]設定!$D34,[1]第３表!$C$10:$C$66,0),11),[1]設定!$I34))</f>
        <v>105.8</v>
      </c>
      <c r="P58" s="57">
        <f>IF($D58="","",IF([1]設定!$I34="",INDEX([1]第３表!$F$10:$Q$66,MATCH([1]設定!$D34,[1]第３表!$C$10:$C$66,0),12),[1]設定!$I34))</f>
        <v>12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IF($D59="","",IF([1]設定!$I35="",INDEX([1]第３表!$F$10:$Q$66,MATCH([1]設定!$D35,[1]第３表!$C$10:$C$66,0),1),[1]設定!$I35))</f>
        <v>16.7</v>
      </c>
      <c r="F59" s="52">
        <f>IF($D59="","",IF([1]設定!$I35="",INDEX([1]第３表!$F$10:$Q$66,MATCH([1]設定!$D35,[1]第３表!$C$10:$C$66,0),2),[1]設定!$I35))</f>
        <v>146.19999999999999</v>
      </c>
      <c r="G59" s="52">
        <f>IF($D59="","",IF([1]設定!$I35="",INDEX([1]第３表!$F$10:$Q$66,MATCH([1]設定!$D35,[1]第３表!$C$10:$C$66,0),3),[1]設定!$I35))</f>
        <v>123.1</v>
      </c>
      <c r="H59" s="53">
        <f>IF($D59="","",IF([1]設定!$I35="",INDEX([1]第３表!$F$10:$Q$66,MATCH([1]設定!$D35,[1]第３表!$C$10:$C$66,0),4),[1]設定!$I35))</f>
        <v>23.1</v>
      </c>
      <c r="I59" s="54">
        <f>IF($D59="","",IF([1]設定!$I35="",INDEX([1]第３表!$F$10:$Q$66,MATCH([1]設定!$D35,[1]第３表!$C$10:$C$66,0),5),[1]設定!$I35))</f>
        <v>17</v>
      </c>
      <c r="J59" s="54">
        <f>IF($D59="","",IF([1]設定!$I35="",INDEX([1]第３表!$F$10:$Q$66,MATCH([1]設定!$D35,[1]第３表!$C$10:$C$66,0),6),[1]設定!$I35))</f>
        <v>156.69999999999999</v>
      </c>
      <c r="K59" s="54">
        <f>IF($D59="","",IF([1]設定!$I35="",INDEX([1]第３表!$F$10:$Q$66,MATCH([1]設定!$D35,[1]第３表!$C$10:$C$66,0),7),[1]設定!$I35))</f>
        <v>127.7</v>
      </c>
      <c r="L59" s="55">
        <f>IF($D59="","",IF([1]設定!$I35="",INDEX([1]第３表!$F$10:$Q$66,MATCH([1]設定!$D35,[1]第３表!$C$10:$C$66,0),8),[1]設定!$I35))</f>
        <v>29</v>
      </c>
      <c r="M59" s="56">
        <f>IF($D59="","",IF([1]設定!$I35="",INDEX([1]第３表!$F$10:$Q$66,MATCH([1]設定!$D35,[1]第３表!$C$10:$C$66,0),9),[1]設定!$I35))</f>
        <v>16.5</v>
      </c>
      <c r="N59" s="56">
        <f>IF($D59="","",IF([1]設定!$I35="",INDEX([1]第３表!$F$10:$Q$66,MATCH([1]設定!$D35,[1]第３表!$C$10:$C$66,0),10),[1]設定!$I35))</f>
        <v>136.69999999999999</v>
      </c>
      <c r="O59" s="56">
        <f>IF($D59="","",IF([1]設定!$I35="",INDEX([1]第３表!$F$10:$Q$66,MATCH([1]設定!$D35,[1]第３表!$C$10:$C$66,0),11),[1]設定!$I35))</f>
        <v>118.9</v>
      </c>
      <c r="P59" s="57">
        <f>IF($D59="","",IF([1]設定!$I35="",INDEX([1]第３表!$F$10:$Q$66,MATCH([1]設定!$D35,[1]第３表!$C$10:$C$66,0),12),[1]設定!$I35))</f>
        <v>17.8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IF($D60="","",IF([1]設定!$I36="",INDEX([1]第３表!$F$10:$Q$66,MATCH([1]設定!$D36,[1]第３表!$C$10:$C$66,0),1),[1]設定!$I36))</f>
        <v>18.399999999999999</v>
      </c>
      <c r="F60" s="52">
        <f>IF($D60="","",IF([1]設定!$I36="",INDEX([1]第３表!$F$10:$Q$66,MATCH([1]設定!$D36,[1]第３表!$C$10:$C$66,0),2),[1]設定!$I36))</f>
        <v>139.30000000000001</v>
      </c>
      <c r="G60" s="52">
        <f>IF($D60="","",IF([1]設定!$I36="",INDEX([1]第３表!$F$10:$Q$66,MATCH([1]設定!$D36,[1]第３表!$C$10:$C$66,0),3),[1]設定!$I36))</f>
        <v>133.69999999999999</v>
      </c>
      <c r="H60" s="53">
        <f>IF($D60="","",IF([1]設定!$I36="",INDEX([1]第３表!$F$10:$Q$66,MATCH([1]設定!$D36,[1]第３表!$C$10:$C$66,0),4),[1]設定!$I36))</f>
        <v>5.6</v>
      </c>
      <c r="I60" s="54">
        <f>IF($D60="","",IF([1]設定!$I36="",INDEX([1]第３表!$F$10:$Q$66,MATCH([1]設定!$D36,[1]第３表!$C$10:$C$66,0),5),[1]設定!$I36))</f>
        <v>18.7</v>
      </c>
      <c r="J60" s="54">
        <f>IF($D60="","",IF([1]設定!$I36="",INDEX([1]第３表!$F$10:$Q$66,MATCH([1]設定!$D36,[1]第３表!$C$10:$C$66,0),6),[1]設定!$I36))</f>
        <v>146.30000000000001</v>
      </c>
      <c r="K60" s="54">
        <f>IF($D60="","",IF([1]設定!$I36="",INDEX([1]第３表!$F$10:$Q$66,MATCH([1]設定!$D36,[1]第３表!$C$10:$C$66,0),7),[1]設定!$I36))</f>
        <v>140.1</v>
      </c>
      <c r="L60" s="55">
        <f>IF($D60="","",IF([1]設定!$I36="",INDEX([1]第３表!$F$10:$Q$66,MATCH([1]設定!$D36,[1]第３表!$C$10:$C$66,0),8),[1]設定!$I36))</f>
        <v>6.2</v>
      </c>
      <c r="M60" s="56">
        <f>IF($D60="","",IF([1]設定!$I36="",INDEX([1]第３表!$F$10:$Q$66,MATCH([1]設定!$D36,[1]第３表!$C$10:$C$66,0),9),[1]設定!$I36))</f>
        <v>18.3</v>
      </c>
      <c r="N60" s="56">
        <f>IF($D60="","",IF([1]設定!$I36="",INDEX([1]第３表!$F$10:$Q$66,MATCH([1]設定!$D36,[1]第３表!$C$10:$C$66,0),10),[1]設定!$I36))</f>
        <v>136.5</v>
      </c>
      <c r="O60" s="56">
        <f>IF($D60="","",IF([1]設定!$I36="",INDEX([1]第３表!$F$10:$Q$66,MATCH([1]設定!$D36,[1]第３表!$C$10:$C$66,0),11),[1]設定!$I36))</f>
        <v>131.19999999999999</v>
      </c>
      <c r="P60" s="57">
        <f>IF($D60="","",IF([1]設定!$I36="",INDEX([1]第３表!$F$10:$Q$66,MATCH([1]設定!$D36,[1]第３表!$C$10:$C$66,0),12),[1]設定!$I36))</f>
        <v>5.3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IF($D61="","",IF([1]設定!$I37="",INDEX([1]第３表!$F$10:$Q$66,MATCH([1]設定!$D37,[1]第３表!$C$10:$C$66,0),1),[1]設定!$I37))</f>
        <v>19.5</v>
      </c>
      <c r="F61" s="52">
        <f>IF($D61="","",IF([1]設定!$I37="",INDEX([1]第３表!$F$10:$Q$66,MATCH([1]設定!$D37,[1]第３表!$C$10:$C$66,0),2),[1]設定!$I37))</f>
        <v>154.4</v>
      </c>
      <c r="G61" s="52">
        <f>IF($D61="","",IF([1]設定!$I37="",INDEX([1]第３表!$F$10:$Q$66,MATCH([1]設定!$D37,[1]第３表!$C$10:$C$66,0),3),[1]設定!$I37))</f>
        <v>149.30000000000001</v>
      </c>
      <c r="H61" s="53">
        <f>IF($D61="","",IF([1]設定!$I37="",INDEX([1]第３表!$F$10:$Q$66,MATCH([1]設定!$D37,[1]第３表!$C$10:$C$66,0),4),[1]設定!$I37))</f>
        <v>5.0999999999999996</v>
      </c>
      <c r="I61" s="54">
        <f>IF($D61="","",IF([1]設定!$I37="",INDEX([1]第３表!$F$10:$Q$66,MATCH([1]設定!$D37,[1]第３表!$C$10:$C$66,0),5),[1]設定!$I37))</f>
        <v>19.5</v>
      </c>
      <c r="J61" s="54">
        <f>IF($D61="","",IF([1]設定!$I37="",INDEX([1]第３表!$F$10:$Q$66,MATCH([1]設定!$D37,[1]第３表!$C$10:$C$66,0),6),[1]設定!$I37))</f>
        <v>158</v>
      </c>
      <c r="K61" s="54">
        <f>IF($D61="","",IF([1]設定!$I37="",INDEX([1]第３表!$F$10:$Q$66,MATCH([1]設定!$D37,[1]第３表!$C$10:$C$66,0),7),[1]設定!$I37))</f>
        <v>152.30000000000001</v>
      </c>
      <c r="L61" s="55">
        <f>IF($D61="","",IF([1]設定!$I37="",INDEX([1]第３表!$F$10:$Q$66,MATCH([1]設定!$D37,[1]第３表!$C$10:$C$66,0),8),[1]設定!$I37))</f>
        <v>5.7</v>
      </c>
      <c r="M61" s="56">
        <f>IF($D61="","",IF([1]設定!$I37="",INDEX([1]第３表!$F$10:$Q$66,MATCH([1]設定!$D37,[1]第３表!$C$10:$C$66,0),9),[1]設定!$I37))</f>
        <v>19.5</v>
      </c>
      <c r="N61" s="56">
        <f>IF($D61="","",IF([1]設定!$I37="",INDEX([1]第３表!$F$10:$Q$66,MATCH([1]設定!$D37,[1]第３表!$C$10:$C$66,0),10),[1]設定!$I37))</f>
        <v>149.30000000000001</v>
      </c>
      <c r="O61" s="56">
        <f>IF($D61="","",IF([1]設定!$I37="",INDEX([1]第３表!$F$10:$Q$66,MATCH([1]設定!$D37,[1]第３表!$C$10:$C$66,0),11),[1]設定!$I37))</f>
        <v>145</v>
      </c>
      <c r="P61" s="57">
        <f>IF($D61="","",IF([1]設定!$I37="",INDEX([1]第３表!$F$10:$Q$66,MATCH([1]設定!$D37,[1]第３表!$C$10:$C$66,0),12),[1]設定!$I37))</f>
        <v>4.3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IF($D62="","",IF([1]設定!$I38="",INDEX([1]第３表!$F$10:$Q$66,MATCH([1]設定!$D38,[1]第３表!$C$10:$C$66,0),1),[1]設定!$I38))</f>
        <v>17.600000000000001</v>
      </c>
      <c r="F62" s="52">
        <f>IF($D62="","",IF([1]設定!$I38="",INDEX([1]第３表!$F$10:$Q$66,MATCH([1]設定!$D38,[1]第３表!$C$10:$C$66,0),2),[1]設定!$I38))</f>
        <v>132.80000000000001</v>
      </c>
      <c r="G62" s="52">
        <f>IF($D62="","",IF([1]設定!$I38="",INDEX([1]第３表!$F$10:$Q$66,MATCH([1]設定!$D38,[1]第３表!$C$10:$C$66,0),3),[1]設定!$I38))</f>
        <v>124.3</v>
      </c>
      <c r="H62" s="53">
        <f>IF($D62="","",IF([1]設定!$I38="",INDEX([1]第３表!$F$10:$Q$66,MATCH([1]設定!$D38,[1]第３表!$C$10:$C$66,0),4),[1]設定!$I38))</f>
        <v>8.5</v>
      </c>
      <c r="I62" s="54">
        <f>IF($D62="","",IF([1]設定!$I38="",INDEX([1]第３表!$F$10:$Q$66,MATCH([1]設定!$D38,[1]第３表!$C$10:$C$66,0),5),[1]設定!$I38))</f>
        <v>18</v>
      </c>
      <c r="J62" s="54">
        <f>IF($D62="","",IF([1]設定!$I38="",INDEX([1]第３表!$F$10:$Q$66,MATCH([1]設定!$D38,[1]第３表!$C$10:$C$66,0),6),[1]設定!$I38))</f>
        <v>149.69999999999999</v>
      </c>
      <c r="K62" s="54">
        <f>IF($D62="","",IF([1]設定!$I38="",INDEX([1]第３表!$F$10:$Q$66,MATCH([1]設定!$D38,[1]第３表!$C$10:$C$66,0),7),[1]設定!$I38))</f>
        <v>137.4</v>
      </c>
      <c r="L62" s="55">
        <f>IF($D62="","",IF([1]設定!$I38="",INDEX([1]第３表!$F$10:$Q$66,MATCH([1]設定!$D38,[1]第３表!$C$10:$C$66,0),8),[1]設定!$I38))</f>
        <v>12.3</v>
      </c>
      <c r="M62" s="56">
        <f>IF($D62="","",IF([1]設定!$I38="",INDEX([1]第３表!$F$10:$Q$66,MATCH([1]設定!$D38,[1]第３表!$C$10:$C$66,0),9),[1]設定!$I38))</f>
        <v>17.2</v>
      </c>
      <c r="N62" s="56">
        <f>IF($D62="","",IF([1]設定!$I38="",INDEX([1]第３表!$F$10:$Q$66,MATCH([1]設定!$D38,[1]第３表!$C$10:$C$66,0),10),[1]設定!$I38))</f>
        <v>116</v>
      </c>
      <c r="O62" s="56">
        <f>IF($D62="","",IF([1]設定!$I38="",INDEX([1]第３表!$F$10:$Q$66,MATCH([1]設定!$D38,[1]第３表!$C$10:$C$66,0),11),[1]設定!$I38))</f>
        <v>111.3</v>
      </c>
      <c r="P62" s="57">
        <f>IF($D62="","",IF([1]設定!$I38="",INDEX([1]第３表!$F$10:$Q$66,MATCH([1]設定!$D38,[1]第３表!$C$10:$C$66,0),12),[1]設定!$I38))</f>
        <v>4.7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IF($D63="","",IF([1]設定!$I39="",INDEX([1]第３表!$F$10:$Q$66,MATCH([1]設定!$D39,[1]第３表!$C$10:$C$66,0),1),[1]設定!$I39))</f>
        <v>18.100000000000001</v>
      </c>
      <c r="F63" s="48">
        <f>IF($D63="","",IF([1]設定!$I39="",INDEX([1]第３表!$F$10:$Q$66,MATCH([1]設定!$D39,[1]第３表!$C$10:$C$66,0),2),[1]設定!$I39))</f>
        <v>148.1</v>
      </c>
      <c r="G63" s="48">
        <f>IF($D63="","",IF([1]設定!$I39="",INDEX([1]第３表!$F$10:$Q$66,MATCH([1]設定!$D39,[1]第３表!$C$10:$C$66,0),3),[1]設定!$I39))</f>
        <v>134.6</v>
      </c>
      <c r="H63" s="64">
        <f>IF($D63="","",IF([1]設定!$I39="",INDEX([1]第３表!$F$10:$Q$66,MATCH([1]設定!$D39,[1]第３表!$C$10:$C$66,0),4),[1]設定!$I39))</f>
        <v>13.5</v>
      </c>
      <c r="I63" s="48">
        <f>IF($D63="","",IF([1]設定!$I39="",INDEX([1]第３表!$F$10:$Q$66,MATCH([1]設定!$D39,[1]第３表!$C$10:$C$66,0),5),[1]設定!$I39))</f>
        <v>18.399999999999999</v>
      </c>
      <c r="J63" s="48">
        <f>IF($D63="","",IF([1]設定!$I39="",INDEX([1]第３表!$F$10:$Q$66,MATCH([1]設定!$D39,[1]第３表!$C$10:$C$66,0),6),[1]設定!$I39))</f>
        <v>157.1</v>
      </c>
      <c r="K63" s="48">
        <f>IF($D63="","",IF([1]設定!$I39="",INDEX([1]第３表!$F$10:$Q$66,MATCH([1]設定!$D39,[1]第３表!$C$10:$C$66,0),7),[1]設定!$I39))</f>
        <v>141.4</v>
      </c>
      <c r="L63" s="64">
        <f>IF($D63="","",IF([1]設定!$I39="",INDEX([1]第３表!$F$10:$Q$66,MATCH([1]設定!$D39,[1]第３表!$C$10:$C$66,0),8),[1]設定!$I39))</f>
        <v>15.7</v>
      </c>
      <c r="M63" s="48">
        <f>IF($D63="","",IF([1]設定!$I39="",INDEX([1]第３表!$F$10:$Q$66,MATCH([1]設定!$D39,[1]第３表!$C$10:$C$66,0),9),[1]設定!$I39))</f>
        <v>17.899999999999999</v>
      </c>
      <c r="N63" s="48">
        <f>IF($D63="","",IF([1]設定!$I39="",INDEX([1]第３表!$F$10:$Q$66,MATCH([1]設定!$D39,[1]第３表!$C$10:$C$66,0),10),[1]設定!$I39))</f>
        <v>140.1</v>
      </c>
      <c r="O63" s="48">
        <f>IF($D63="","",IF([1]設定!$I39="",INDEX([1]第３表!$F$10:$Q$66,MATCH([1]設定!$D39,[1]第３表!$C$10:$C$66,0),11),[1]設定!$I39))</f>
        <v>128.6</v>
      </c>
      <c r="P63" s="64">
        <f>IF($D63="","",IF([1]設定!$I39="",INDEX([1]第３表!$F$10:$Q$66,MATCH([1]設定!$D39,[1]第３表!$C$10:$C$66,0),12),[1]設定!$I39))</f>
        <v>11.5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IF($D64="","",IF([1]設定!$I40="",INDEX([1]第３表!$F$10:$Q$66,MATCH([1]設定!$D40,[1]第３表!$C$10:$C$66,0),1),[1]設定!$I40))</f>
        <v>17.7</v>
      </c>
      <c r="F64" s="52">
        <f>IF($D64="","",IF([1]設定!$I40="",INDEX([1]第３表!$F$10:$Q$66,MATCH([1]設定!$D40,[1]第３表!$C$10:$C$66,0),2),[1]設定!$I40))</f>
        <v>151.5</v>
      </c>
      <c r="G64" s="52">
        <f>IF($D64="","",IF([1]設定!$I40="",INDEX([1]第３表!$F$10:$Q$66,MATCH([1]設定!$D40,[1]第３表!$C$10:$C$66,0),3),[1]設定!$I40))</f>
        <v>133.80000000000001</v>
      </c>
      <c r="H64" s="55">
        <f>IF($D64="","",IF([1]設定!$I40="",INDEX([1]第３表!$F$10:$Q$66,MATCH([1]設定!$D40,[1]第３表!$C$10:$C$66,0),4),[1]設定!$I40))</f>
        <v>17.7</v>
      </c>
      <c r="I64" s="52">
        <f>IF($D64="","",IF([1]設定!$I40="",INDEX([1]第３表!$F$10:$Q$66,MATCH([1]設定!$D40,[1]第３表!$C$10:$C$66,0),5),[1]設定!$I40))</f>
        <v>18.600000000000001</v>
      </c>
      <c r="J64" s="52">
        <f>IF($D64="","",IF([1]設定!$I40="",INDEX([1]第３表!$F$10:$Q$66,MATCH([1]設定!$D40,[1]第３表!$C$10:$C$66,0),6),[1]設定!$I40))</f>
        <v>159.80000000000001</v>
      </c>
      <c r="K64" s="52">
        <f>IF($D64="","",IF([1]設定!$I40="",INDEX([1]第３表!$F$10:$Q$66,MATCH([1]設定!$D40,[1]第３表!$C$10:$C$66,0),7),[1]設定!$I40))</f>
        <v>139.30000000000001</v>
      </c>
      <c r="L64" s="55">
        <f>IF($D64="","",IF([1]設定!$I40="",INDEX([1]第３表!$F$10:$Q$66,MATCH([1]設定!$D40,[1]第３表!$C$10:$C$66,0),8),[1]設定!$I40))</f>
        <v>20.5</v>
      </c>
      <c r="M64" s="52">
        <f>IF($D64="","",IF([1]設定!$I40="",INDEX([1]第３表!$F$10:$Q$66,MATCH([1]設定!$D40,[1]第３表!$C$10:$C$66,0),9),[1]設定!$I40))</f>
        <v>17</v>
      </c>
      <c r="N64" s="52">
        <f>IF($D64="","",IF([1]設定!$I40="",INDEX([1]第３表!$F$10:$Q$66,MATCH([1]設定!$D40,[1]第３表!$C$10:$C$66,0),10),[1]設定!$I40))</f>
        <v>145.4</v>
      </c>
      <c r="O64" s="52">
        <f>IF($D64="","",IF([1]設定!$I40="",INDEX([1]第３表!$F$10:$Q$66,MATCH([1]設定!$D40,[1]第３表!$C$10:$C$66,0),11),[1]設定!$I40))</f>
        <v>129.80000000000001</v>
      </c>
      <c r="P64" s="55">
        <f>IF($D64="","",IF([1]設定!$I40="",INDEX([1]第３表!$F$10:$Q$66,MATCH([1]設定!$D40,[1]第３表!$C$10:$C$66,0),12),[1]設定!$I40))</f>
        <v>15.6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IF($D65="","",IF([1]設定!$I41="",INDEX([1]第３表!$F$10:$Q$66,MATCH([1]設定!$D41,[1]第３表!$C$10:$C$66,0),1),[1]設定!$I41))</f>
        <v>17.8</v>
      </c>
      <c r="F65" s="52">
        <f>IF($D65="","",IF([1]設定!$I41="",INDEX([1]第３表!$F$10:$Q$66,MATCH([1]設定!$D41,[1]第３表!$C$10:$C$66,0),2),[1]設定!$I41))</f>
        <v>140.6</v>
      </c>
      <c r="G65" s="52">
        <f>IF($D65="","",IF([1]設定!$I41="",INDEX([1]第３表!$F$10:$Q$66,MATCH([1]設定!$D41,[1]第３表!$C$10:$C$66,0),3),[1]設定!$I41))</f>
        <v>130.6</v>
      </c>
      <c r="H65" s="55">
        <f>IF($D65="","",IF([1]設定!$I41="",INDEX([1]第３表!$F$10:$Q$66,MATCH([1]設定!$D41,[1]第３表!$C$10:$C$66,0),4),[1]設定!$I41))</f>
        <v>10</v>
      </c>
      <c r="I65" s="52">
        <f>IF($D65="","",IF([1]設定!$I41="",INDEX([1]第３表!$F$10:$Q$66,MATCH([1]設定!$D41,[1]第３表!$C$10:$C$66,0),5),[1]設定!$I41))</f>
        <v>17.600000000000001</v>
      </c>
      <c r="J65" s="52">
        <f>IF($D65="","",IF([1]設定!$I41="",INDEX([1]第３表!$F$10:$Q$66,MATCH([1]設定!$D41,[1]第３表!$C$10:$C$66,0),6),[1]設定!$I41))</f>
        <v>144.30000000000001</v>
      </c>
      <c r="K65" s="52">
        <f>IF($D65="","",IF([1]設定!$I41="",INDEX([1]第３表!$F$10:$Q$66,MATCH([1]設定!$D41,[1]第３表!$C$10:$C$66,0),7),[1]設定!$I41))</f>
        <v>132.4</v>
      </c>
      <c r="L65" s="55">
        <f>IF($D65="","",IF([1]設定!$I41="",INDEX([1]第３表!$F$10:$Q$66,MATCH([1]設定!$D41,[1]第３表!$C$10:$C$66,0),8),[1]設定!$I41))</f>
        <v>11.9</v>
      </c>
      <c r="M65" s="52">
        <f>IF($D65="","",IF([1]設定!$I41="",INDEX([1]第３表!$F$10:$Q$66,MATCH([1]設定!$D41,[1]第３表!$C$10:$C$66,0),9),[1]設定!$I41))</f>
        <v>18.7</v>
      </c>
      <c r="N65" s="52">
        <f>IF($D65="","",IF([1]設定!$I41="",INDEX([1]第３表!$F$10:$Q$66,MATCH([1]設定!$D41,[1]第３表!$C$10:$C$66,0),10),[1]設定!$I41))</f>
        <v>124.2</v>
      </c>
      <c r="O65" s="52">
        <f>IF($D65="","",IF([1]設定!$I41="",INDEX([1]第３表!$F$10:$Q$66,MATCH([1]設定!$D41,[1]第３表!$C$10:$C$66,0),11),[1]設定!$I41))</f>
        <v>122.6</v>
      </c>
      <c r="P65" s="55">
        <f>IF($D65="","",IF([1]設定!$I41="",INDEX([1]第３表!$F$10:$Q$66,MATCH([1]設定!$D41,[1]第３表!$C$10:$C$66,0),12),[1]設定!$I41))</f>
        <v>1.6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IF($D66="","",IF([1]設定!$I42="",INDEX([1]第３表!$F$10:$Q$66,MATCH([1]設定!$D42,[1]第３表!$C$10:$C$66,0),1),[1]設定!$I42))</f>
        <v>x</v>
      </c>
      <c r="F66" s="52" t="str">
        <f>IF($D66="","",IF([1]設定!$I42="",INDEX([1]第３表!$F$10:$Q$66,MATCH([1]設定!$D42,[1]第３表!$C$10:$C$66,0),2),[1]設定!$I42))</f>
        <v>x</v>
      </c>
      <c r="G66" s="52" t="str">
        <f>IF($D66="","",IF([1]設定!$I42="",INDEX([1]第３表!$F$10:$Q$66,MATCH([1]設定!$D42,[1]第３表!$C$10:$C$66,0),3),[1]設定!$I42))</f>
        <v>x</v>
      </c>
      <c r="H66" s="55" t="str">
        <f>IF($D66="","",IF([1]設定!$I42="",INDEX([1]第３表!$F$10:$Q$66,MATCH([1]設定!$D42,[1]第３表!$C$10:$C$66,0),4),[1]設定!$I42))</f>
        <v>x</v>
      </c>
      <c r="I66" s="52" t="str">
        <f>IF($D66="","",IF([1]設定!$I42="",INDEX([1]第３表!$F$10:$Q$66,MATCH([1]設定!$D42,[1]第３表!$C$10:$C$66,0),5),[1]設定!$I42))</f>
        <v>x</v>
      </c>
      <c r="J66" s="52" t="str">
        <f>IF($D66="","",IF([1]設定!$I42="",INDEX([1]第３表!$F$10:$Q$66,MATCH([1]設定!$D42,[1]第３表!$C$10:$C$66,0),6),[1]設定!$I42))</f>
        <v>x</v>
      </c>
      <c r="K66" s="52" t="str">
        <f>IF($D66="","",IF([1]設定!$I42="",INDEX([1]第３表!$F$10:$Q$66,MATCH([1]設定!$D42,[1]第３表!$C$10:$C$66,0),7),[1]設定!$I42))</f>
        <v>x</v>
      </c>
      <c r="L66" s="55" t="str">
        <f>IF($D66="","",IF([1]設定!$I42="",INDEX([1]第３表!$F$10:$Q$66,MATCH([1]設定!$D42,[1]第３表!$C$10:$C$66,0),8),[1]設定!$I42))</f>
        <v>x</v>
      </c>
      <c r="M66" s="52" t="str">
        <f>IF($D66="","",IF([1]設定!$I42="",INDEX([1]第３表!$F$10:$Q$66,MATCH([1]設定!$D42,[1]第３表!$C$10:$C$66,0),9),[1]設定!$I42))</f>
        <v>x</v>
      </c>
      <c r="N66" s="52" t="str">
        <f>IF($D66="","",IF([1]設定!$I42="",INDEX([1]第３表!$F$10:$Q$66,MATCH([1]設定!$D42,[1]第３表!$C$10:$C$66,0),10),[1]設定!$I42))</f>
        <v>x</v>
      </c>
      <c r="O66" s="52" t="str">
        <f>IF($D66="","",IF([1]設定!$I42="",INDEX([1]第３表!$F$10:$Q$66,MATCH([1]設定!$D42,[1]第３表!$C$10:$C$66,0),11),[1]設定!$I42))</f>
        <v>x</v>
      </c>
      <c r="P66" s="55" t="str">
        <f>IF($D66="","",IF([1]設定!$I42="",INDEX([1]第３表!$F$10:$Q$66,MATCH([1]設定!$D42,[1]第３表!$C$10:$C$66,0),12),[1]設定!$I42))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>
        <f>IF($D67="","",IF([1]設定!$I43="",INDEX([1]第３表!$F$10:$Q$66,MATCH([1]設定!$D43,[1]第３表!$C$10:$C$66,0),1),[1]設定!$I43))</f>
        <v>17.2</v>
      </c>
      <c r="F67" s="52">
        <f>IF($D67="","",IF([1]設定!$I43="",INDEX([1]第３表!$F$10:$Q$66,MATCH([1]設定!$D43,[1]第３表!$C$10:$C$66,0),2),[1]設定!$I43))</f>
        <v>124.1</v>
      </c>
      <c r="G67" s="52">
        <f>IF($D67="","",IF([1]設定!$I43="",INDEX([1]第３表!$F$10:$Q$66,MATCH([1]設定!$D43,[1]第３表!$C$10:$C$66,0),3),[1]設定!$I43))</f>
        <v>116</v>
      </c>
      <c r="H67" s="55">
        <f>IF($D67="","",IF([1]設定!$I43="",INDEX([1]第３表!$F$10:$Q$66,MATCH([1]設定!$D43,[1]第３表!$C$10:$C$66,0),4),[1]設定!$I43))</f>
        <v>8.1</v>
      </c>
      <c r="I67" s="52">
        <f>IF($D67="","",IF([1]設定!$I43="",INDEX([1]第３表!$F$10:$Q$66,MATCH([1]設定!$D43,[1]第３表!$C$10:$C$66,0),5),[1]設定!$I43))</f>
        <v>17.8</v>
      </c>
      <c r="J67" s="52">
        <f>IF($D67="","",IF([1]設定!$I43="",INDEX([1]第３表!$F$10:$Q$66,MATCH([1]設定!$D43,[1]第３表!$C$10:$C$66,0),6),[1]設定!$I43))</f>
        <v>130.4</v>
      </c>
      <c r="K67" s="52">
        <f>IF($D67="","",IF([1]設定!$I43="",INDEX([1]第３表!$F$10:$Q$66,MATCH([1]設定!$D43,[1]第３表!$C$10:$C$66,0),7),[1]設定!$I43))</f>
        <v>121</v>
      </c>
      <c r="L67" s="55">
        <f>IF($D67="","",IF([1]設定!$I43="",INDEX([1]第３表!$F$10:$Q$66,MATCH([1]設定!$D43,[1]第３表!$C$10:$C$66,0),8),[1]設定!$I43))</f>
        <v>9.4</v>
      </c>
      <c r="M67" s="52">
        <f>IF($D67="","",IF([1]設定!$I43="",INDEX([1]第３表!$F$10:$Q$66,MATCH([1]設定!$D43,[1]第３表!$C$10:$C$66,0),9),[1]設定!$I43))</f>
        <v>15.6</v>
      </c>
      <c r="N67" s="52">
        <f>IF($D67="","",IF([1]設定!$I43="",INDEX([1]第３表!$F$10:$Q$66,MATCH([1]設定!$D43,[1]第３表!$C$10:$C$66,0),10),[1]設定!$I43))</f>
        <v>108.3</v>
      </c>
      <c r="O67" s="52">
        <f>IF($D67="","",IF([1]設定!$I43="",INDEX([1]第３表!$F$10:$Q$66,MATCH([1]設定!$D43,[1]第３表!$C$10:$C$66,0),11),[1]設定!$I43))</f>
        <v>103.4</v>
      </c>
      <c r="P67" s="55">
        <f>IF($D67="","",IF([1]設定!$I43="",INDEX([1]第３表!$F$10:$Q$66,MATCH([1]設定!$D43,[1]第３表!$C$10:$C$66,0),12),[1]設定!$I43))</f>
        <v>4.9000000000000004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IF($D68="","",IF([1]設定!$I44="",INDEX([1]第３表!$F$10:$Q$66,MATCH([1]設定!$D44,[1]第３表!$C$10:$C$66,0),1),[1]設定!$I44))</f>
        <v>18</v>
      </c>
      <c r="F68" s="52">
        <f>IF($D68="","",IF([1]設定!$I44="",INDEX([1]第３表!$F$10:$Q$66,MATCH([1]設定!$D44,[1]第３表!$C$10:$C$66,0),2),[1]設定!$I44))</f>
        <v>151.9</v>
      </c>
      <c r="G68" s="52">
        <f>IF($D68="","",IF([1]設定!$I44="",INDEX([1]第３表!$F$10:$Q$66,MATCH([1]設定!$D44,[1]第３表!$C$10:$C$66,0),3),[1]設定!$I44))</f>
        <v>130.9</v>
      </c>
      <c r="H68" s="55">
        <f>IF($D68="","",IF([1]設定!$I44="",INDEX([1]第３表!$F$10:$Q$66,MATCH([1]設定!$D44,[1]第３表!$C$10:$C$66,0),4),[1]設定!$I44))</f>
        <v>21</v>
      </c>
      <c r="I68" s="52">
        <f>IF($D68="","",IF([1]設定!$I44="",INDEX([1]第３表!$F$10:$Q$66,MATCH([1]設定!$D44,[1]第３表!$C$10:$C$66,0),5),[1]設定!$I44))</f>
        <v>18.100000000000001</v>
      </c>
      <c r="J68" s="52">
        <f>IF($D68="","",IF([1]設定!$I44="",INDEX([1]第３表!$F$10:$Q$66,MATCH([1]設定!$D44,[1]第３表!$C$10:$C$66,0),6),[1]設定!$I44))</f>
        <v>153.80000000000001</v>
      </c>
      <c r="K68" s="52">
        <f>IF($D68="","",IF([1]設定!$I44="",INDEX([1]第３表!$F$10:$Q$66,MATCH([1]設定!$D44,[1]第３表!$C$10:$C$66,0),7),[1]設定!$I44))</f>
        <v>131.5</v>
      </c>
      <c r="L68" s="55">
        <f>IF($D68="","",IF([1]設定!$I44="",INDEX([1]第３表!$F$10:$Q$66,MATCH([1]設定!$D44,[1]第３表!$C$10:$C$66,0),8),[1]設定!$I44))</f>
        <v>22.3</v>
      </c>
      <c r="M68" s="52">
        <f>IF($D68="","",IF([1]設定!$I44="",INDEX([1]第３表!$F$10:$Q$66,MATCH([1]設定!$D44,[1]第３表!$C$10:$C$66,0),9),[1]設定!$I44))</f>
        <v>17</v>
      </c>
      <c r="N68" s="52">
        <f>IF($D68="","",IF([1]設定!$I44="",INDEX([1]第３表!$F$10:$Q$66,MATCH([1]設定!$D44,[1]第３表!$C$10:$C$66,0),10),[1]設定!$I44))</f>
        <v>128.9</v>
      </c>
      <c r="O68" s="52">
        <f>IF($D68="","",IF([1]設定!$I44="",INDEX([1]第３表!$F$10:$Q$66,MATCH([1]設定!$D44,[1]第３表!$C$10:$C$66,0),11),[1]設定!$I44))</f>
        <v>123.7</v>
      </c>
      <c r="P68" s="55">
        <f>IF($D68="","",IF([1]設定!$I44="",INDEX([1]第３表!$F$10:$Q$66,MATCH([1]設定!$D44,[1]第３表!$C$10:$C$66,0),12),[1]設定!$I44))</f>
        <v>5.2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IF($D69="","",IF([1]設定!$I45="",INDEX([1]第３表!$F$10:$Q$66,MATCH([1]設定!$D45,[1]第３表!$C$10:$C$66,0),1),[1]設定!$I45))</f>
        <v>17.8</v>
      </c>
      <c r="F69" s="52">
        <f>IF($D69="","",IF([1]設定!$I45="",INDEX([1]第３表!$F$10:$Q$66,MATCH([1]設定!$D45,[1]第３表!$C$10:$C$66,0),2),[1]設定!$I45))</f>
        <v>141</v>
      </c>
      <c r="G69" s="52">
        <f>IF($D69="","",IF([1]設定!$I45="",INDEX([1]第３表!$F$10:$Q$66,MATCH([1]設定!$D45,[1]第３表!$C$10:$C$66,0),3),[1]設定!$I45))</f>
        <v>130.1</v>
      </c>
      <c r="H69" s="55">
        <f>IF($D69="","",IF([1]設定!$I45="",INDEX([1]第３表!$F$10:$Q$66,MATCH([1]設定!$D45,[1]第３表!$C$10:$C$66,0),4),[1]設定!$I45))</f>
        <v>10.9</v>
      </c>
      <c r="I69" s="52">
        <f>IF($D69="","",IF([1]設定!$I45="",INDEX([1]第３表!$F$10:$Q$66,MATCH([1]設定!$D45,[1]第３表!$C$10:$C$66,0),5),[1]設定!$I45))</f>
        <v>18.2</v>
      </c>
      <c r="J69" s="52">
        <f>IF($D69="","",IF([1]設定!$I45="",INDEX([1]第３表!$F$10:$Q$66,MATCH([1]設定!$D45,[1]第３表!$C$10:$C$66,0),6),[1]設定!$I45))</f>
        <v>149.6</v>
      </c>
      <c r="K69" s="52">
        <f>IF($D69="","",IF([1]設定!$I45="",INDEX([1]第３表!$F$10:$Q$66,MATCH([1]設定!$D45,[1]第３表!$C$10:$C$66,0),7),[1]設定!$I45))</f>
        <v>135.4</v>
      </c>
      <c r="L69" s="55">
        <f>IF($D69="","",IF([1]設定!$I45="",INDEX([1]第３表!$F$10:$Q$66,MATCH([1]設定!$D45,[1]第３表!$C$10:$C$66,0),8),[1]設定!$I45))</f>
        <v>14.2</v>
      </c>
      <c r="M69" s="52">
        <f>IF($D69="","",IF([1]設定!$I45="",INDEX([1]第３表!$F$10:$Q$66,MATCH([1]設定!$D45,[1]第３表!$C$10:$C$66,0),9),[1]設定!$I45))</f>
        <v>16.3</v>
      </c>
      <c r="N69" s="52">
        <f>IF($D69="","",IF([1]設定!$I45="",INDEX([1]第３表!$F$10:$Q$66,MATCH([1]設定!$D45,[1]第３表!$C$10:$C$66,0),10),[1]設定!$I45))</f>
        <v>115.3</v>
      </c>
      <c r="O69" s="52">
        <f>IF($D69="","",IF([1]設定!$I45="",INDEX([1]第３表!$F$10:$Q$66,MATCH([1]設定!$D45,[1]第３表!$C$10:$C$66,0),11),[1]設定!$I45))</f>
        <v>114.2</v>
      </c>
      <c r="P69" s="55">
        <f>IF($D69="","",IF([1]設定!$I45="",INDEX([1]第３表!$F$10:$Q$66,MATCH([1]設定!$D45,[1]第３表!$C$10:$C$66,0),12),[1]設定!$I45))</f>
        <v>1.1000000000000001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IF($D70="","",IF([1]設定!$I46="",INDEX([1]第３表!$F$10:$Q$66,MATCH([1]設定!$D46,[1]第３表!$C$10:$C$66,0),1),[1]設定!$I46))</f>
        <v>17.3</v>
      </c>
      <c r="F70" s="52">
        <f>IF($D70="","",IF([1]設定!$I46="",INDEX([1]第３表!$F$10:$Q$66,MATCH([1]設定!$D46,[1]第３表!$C$10:$C$66,0),2),[1]設定!$I46))</f>
        <v>148.80000000000001</v>
      </c>
      <c r="G70" s="52">
        <f>IF($D70="","",IF([1]設定!$I46="",INDEX([1]第３表!$F$10:$Q$66,MATCH([1]設定!$D46,[1]第３表!$C$10:$C$66,0),3),[1]設定!$I46))</f>
        <v>128.19999999999999</v>
      </c>
      <c r="H70" s="55">
        <f>IF($D70="","",IF([1]設定!$I46="",INDEX([1]第３表!$F$10:$Q$66,MATCH([1]設定!$D46,[1]第３表!$C$10:$C$66,0),4),[1]設定!$I46))</f>
        <v>20.6</v>
      </c>
      <c r="I70" s="52">
        <f>IF($D70="","",IF([1]設定!$I46="",INDEX([1]第３表!$F$10:$Q$66,MATCH([1]設定!$D46,[1]第３表!$C$10:$C$66,0),5),[1]設定!$I46))</f>
        <v>17.3</v>
      </c>
      <c r="J70" s="52">
        <f>IF($D70="","",IF([1]設定!$I46="",INDEX([1]第３表!$F$10:$Q$66,MATCH([1]設定!$D46,[1]第３表!$C$10:$C$66,0),6),[1]設定!$I46))</f>
        <v>149.6</v>
      </c>
      <c r="K70" s="52">
        <f>IF($D70="","",IF([1]設定!$I46="",INDEX([1]第３表!$F$10:$Q$66,MATCH([1]設定!$D46,[1]第３表!$C$10:$C$66,0),7),[1]設定!$I46))</f>
        <v>127.2</v>
      </c>
      <c r="L70" s="55">
        <f>IF($D70="","",IF([1]設定!$I46="",INDEX([1]第３表!$F$10:$Q$66,MATCH([1]設定!$D46,[1]第３表!$C$10:$C$66,0),8),[1]設定!$I46))</f>
        <v>22.4</v>
      </c>
      <c r="M70" s="52">
        <f>IF($D70="","",IF([1]設定!$I46="",INDEX([1]第３表!$F$10:$Q$66,MATCH([1]設定!$D46,[1]第３表!$C$10:$C$66,0),9),[1]設定!$I46))</f>
        <v>17.3</v>
      </c>
      <c r="N70" s="52">
        <f>IF($D70="","",IF([1]設定!$I46="",INDEX([1]第３表!$F$10:$Q$66,MATCH([1]設定!$D46,[1]第３表!$C$10:$C$66,0),10),[1]設定!$I46))</f>
        <v>143.4</v>
      </c>
      <c r="O70" s="52">
        <f>IF($D70="","",IF([1]設定!$I46="",INDEX([1]第３表!$F$10:$Q$66,MATCH([1]設定!$D46,[1]第３表!$C$10:$C$66,0),11),[1]設定!$I46))</f>
        <v>134.6</v>
      </c>
      <c r="P70" s="55">
        <f>IF($D70="","",IF([1]設定!$I46="",INDEX([1]第３表!$F$10:$Q$66,MATCH([1]設定!$D46,[1]第３表!$C$10:$C$66,0),12),[1]設定!$I46))</f>
        <v>8.8000000000000007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IF($D71="","",IF([1]設定!$I47="",INDEX([1]第３表!$F$10:$Q$66,MATCH([1]設定!$D47,[1]第３表!$C$10:$C$66,0),1),[1]設定!$I47))</f>
        <v>16.7</v>
      </c>
      <c r="F71" s="52">
        <f>IF($D71="","",IF([1]設定!$I47="",INDEX([1]第３表!$F$10:$Q$66,MATCH([1]設定!$D47,[1]第３表!$C$10:$C$66,0),2),[1]設定!$I47))</f>
        <v>134.30000000000001</v>
      </c>
      <c r="G71" s="52">
        <f>IF($D71="","",IF([1]設定!$I47="",INDEX([1]第３表!$F$10:$Q$66,MATCH([1]設定!$D47,[1]第３表!$C$10:$C$66,0),3),[1]設定!$I47))</f>
        <v>124.8</v>
      </c>
      <c r="H71" s="55">
        <f>IF($D71="","",IF([1]設定!$I47="",INDEX([1]第３表!$F$10:$Q$66,MATCH([1]設定!$D47,[1]第３表!$C$10:$C$66,0),4),[1]設定!$I47))</f>
        <v>9.5</v>
      </c>
      <c r="I71" s="52">
        <f>IF($D71="","",IF([1]設定!$I47="",INDEX([1]第３表!$F$10:$Q$66,MATCH([1]設定!$D47,[1]第３表!$C$10:$C$66,0),5),[1]設定!$I47))</f>
        <v>16.7</v>
      </c>
      <c r="J71" s="52">
        <f>IF($D71="","",IF([1]設定!$I47="",INDEX([1]第３表!$F$10:$Q$66,MATCH([1]設定!$D47,[1]第３表!$C$10:$C$66,0),6),[1]設定!$I47))</f>
        <v>141.9</v>
      </c>
      <c r="K71" s="52">
        <f>IF($D71="","",IF([1]設定!$I47="",INDEX([1]第３表!$F$10:$Q$66,MATCH([1]設定!$D47,[1]第３表!$C$10:$C$66,0),7),[1]設定!$I47))</f>
        <v>129.80000000000001</v>
      </c>
      <c r="L71" s="55">
        <f>IF($D71="","",IF([1]設定!$I47="",INDEX([1]第３表!$F$10:$Q$66,MATCH([1]設定!$D47,[1]第３表!$C$10:$C$66,0),8),[1]設定!$I47))</f>
        <v>12.1</v>
      </c>
      <c r="M71" s="52">
        <f>IF($D71="","",IF([1]設定!$I47="",INDEX([1]第３表!$F$10:$Q$66,MATCH([1]設定!$D47,[1]第３表!$C$10:$C$66,0),9),[1]設定!$I47))</f>
        <v>16.5</v>
      </c>
      <c r="N71" s="52">
        <f>IF($D71="","",IF([1]設定!$I47="",INDEX([1]第３表!$F$10:$Q$66,MATCH([1]設定!$D47,[1]第３表!$C$10:$C$66,0),10),[1]設定!$I47))</f>
        <v>112.1</v>
      </c>
      <c r="O71" s="52">
        <f>IF($D71="","",IF([1]設定!$I47="",INDEX([1]第３表!$F$10:$Q$66,MATCH([1]設定!$D47,[1]第３表!$C$10:$C$66,0),11),[1]設定!$I47))</f>
        <v>110.2</v>
      </c>
      <c r="P71" s="55">
        <f>IF($D71="","",IF([1]設定!$I47="",INDEX([1]第３表!$F$10:$Q$66,MATCH([1]設定!$D47,[1]第３表!$C$10:$C$66,0),12),[1]設定!$I47))</f>
        <v>1.9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IF($D72="","",IF([1]設定!$I48="",INDEX([1]第３表!$F$10:$Q$66,MATCH([1]設定!$D48,[1]第３表!$C$10:$C$66,0),1),[1]設定!$I48))</f>
        <v>18.5</v>
      </c>
      <c r="F72" s="55">
        <f>IF($D72="","",IF([1]設定!$I48="",INDEX([1]第３表!$F$10:$Q$66,MATCH([1]設定!$D48,[1]第３表!$C$10:$C$66,0),2),[1]設定!$I48))</f>
        <v>155</v>
      </c>
      <c r="G72" s="55">
        <f>IF($D72="","",IF([1]設定!$I48="",INDEX([1]第３表!$F$10:$Q$66,MATCH([1]設定!$D48,[1]第３表!$C$10:$C$66,0),3),[1]設定!$I48))</f>
        <v>142.80000000000001</v>
      </c>
      <c r="H72" s="55">
        <f>IF($D72="","",IF([1]設定!$I48="",INDEX([1]第３表!$F$10:$Q$66,MATCH([1]設定!$D48,[1]第３表!$C$10:$C$66,0),4),[1]設定!$I48))</f>
        <v>12.2</v>
      </c>
      <c r="I72" s="55">
        <f>IF($D72="","",IF([1]設定!$I48="",INDEX([1]第３表!$F$10:$Q$66,MATCH([1]設定!$D48,[1]第３表!$C$10:$C$66,0),5),[1]設定!$I48))</f>
        <v>18.600000000000001</v>
      </c>
      <c r="J72" s="55">
        <f>IF($D72="","",IF([1]設定!$I48="",INDEX([1]第３表!$F$10:$Q$66,MATCH([1]設定!$D48,[1]第３表!$C$10:$C$66,0),6),[1]設定!$I48))</f>
        <v>160.6</v>
      </c>
      <c r="K72" s="55">
        <f>IF($D72="","",IF([1]設定!$I48="",INDEX([1]第３表!$F$10:$Q$66,MATCH([1]設定!$D48,[1]第３表!$C$10:$C$66,0),7),[1]設定!$I48))</f>
        <v>145.19999999999999</v>
      </c>
      <c r="L72" s="55">
        <f>IF($D72="","",IF([1]設定!$I48="",INDEX([1]第３表!$F$10:$Q$66,MATCH([1]設定!$D48,[1]第３表!$C$10:$C$66,0),8),[1]設定!$I48))</f>
        <v>15.4</v>
      </c>
      <c r="M72" s="55">
        <f>IF($D72="","",IF([1]設定!$I48="",INDEX([1]第３表!$F$10:$Q$66,MATCH([1]設定!$D48,[1]第３表!$C$10:$C$66,0),9),[1]設定!$I48))</f>
        <v>18</v>
      </c>
      <c r="N72" s="55">
        <f>IF($D72="","",IF([1]設定!$I48="",INDEX([1]第３表!$F$10:$Q$66,MATCH([1]設定!$D48,[1]第３表!$C$10:$C$66,0),10),[1]設定!$I48))</f>
        <v>138.4</v>
      </c>
      <c r="O72" s="55">
        <f>IF($D72="","",IF([1]設定!$I48="",INDEX([1]第３表!$F$10:$Q$66,MATCH([1]設定!$D48,[1]第３表!$C$10:$C$66,0),11),[1]設定!$I48))</f>
        <v>135.69999999999999</v>
      </c>
      <c r="P72" s="55">
        <f>IF($D72="","",IF([1]設定!$I48="",INDEX([1]第３表!$F$10:$Q$66,MATCH([1]設定!$D48,[1]第３表!$C$10:$C$66,0),12),[1]設定!$I48))</f>
        <v>2.7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IF($D73="","",IF([1]設定!$I49="",INDEX([1]第３表!$F$10:$Q$66,MATCH([1]設定!$D49,[1]第３表!$C$10:$C$66,0),1),[1]設定!$I49))</f>
        <v>16.7</v>
      </c>
      <c r="F73" s="55">
        <f>IF($D73="","",IF([1]設定!$I49="",INDEX([1]第３表!$F$10:$Q$66,MATCH([1]設定!$D49,[1]第３表!$C$10:$C$66,0),2),[1]設定!$I49))</f>
        <v>138.6</v>
      </c>
      <c r="G73" s="55">
        <f>IF($D73="","",IF([1]設定!$I49="",INDEX([1]第３表!$F$10:$Q$66,MATCH([1]設定!$D49,[1]第３表!$C$10:$C$66,0),3),[1]設定!$I49))</f>
        <v>130.4</v>
      </c>
      <c r="H73" s="55">
        <f>IF($D73="","",IF([1]設定!$I49="",INDEX([1]第３表!$F$10:$Q$66,MATCH([1]設定!$D49,[1]第３表!$C$10:$C$66,0),4),[1]設定!$I49))</f>
        <v>8.1999999999999993</v>
      </c>
      <c r="I73" s="55">
        <f>IF($D73="","",IF([1]設定!$I49="",INDEX([1]第３表!$F$10:$Q$66,MATCH([1]設定!$D49,[1]第３表!$C$10:$C$66,0),5),[1]設定!$I49))</f>
        <v>17.5</v>
      </c>
      <c r="J73" s="55">
        <f>IF($D73="","",IF([1]設定!$I49="",INDEX([1]第３表!$F$10:$Q$66,MATCH([1]設定!$D49,[1]第３表!$C$10:$C$66,0),6),[1]設定!$I49))</f>
        <v>147.9</v>
      </c>
      <c r="K73" s="55">
        <f>IF($D73="","",IF([1]設定!$I49="",INDEX([1]第３表!$F$10:$Q$66,MATCH([1]設定!$D49,[1]第３表!$C$10:$C$66,0),7),[1]設定!$I49))</f>
        <v>136.6</v>
      </c>
      <c r="L73" s="55">
        <f>IF($D73="","",IF([1]設定!$I49="",INDEX([1]第３表!$F$10:$Q$66,MATCH([1]設定!$D49,[1]第３表!$C$10:$C$66,0),8),[1]設定!$I49))</f>
        <v>11.3</v>
      </c>
      <c r="M73" s="55">
        <f>IF($D73="","",IF([1]設定!$I49="",INDEX([1]第３表!$F$10:$Q$66,MATCH([1]設定!$D49,[1]第３表!$C$10:$C$66,0),9),[1]設定!$I49))</f>
        <v>16</v>
      </c>
      <c r="N73" s="55">
        <f>IF($D73="","",IF([1]設定!$I49="",INDEX([1]第３表!$F$10:$Q$66,MATCH([1]設定!$D49,[1]第３表!$C$10:$C$66,0),10),[1]設定!$I49))</f>
        <v>130.5</v>
      </c>
      <c r="O73" s="55">
        <f>IF($D73="","",IF([1]設定!$I49="",INDEX([1]第３表!$F$10:$Q$66,MATCH([1]設定!$D49,[1]第３表!$C$10:$C$66,0),11),[1]設定!$I49))</f>
        <v>125.1</v>
      </c>
      <c r="P73" s="55">
        <f>IF($D73="","",IF([1]設定!$I49="",INDEX([1]第３表!$F$10:$Q$66,MATCH([1]設定!$D49,[1]第３表!$C$10:$C$66,0),12),[1]設定!$I49))</f>
        <v>5.4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IF($D74="","",IF([1]設定!$I50="",INDEX([1]第３表!$F$10:$Q$66,MATCH([1]設定!$D50,[1]第３表!$C$10:$C$66,0),1),[1]設定!$I50))</f>
        <v>18.600000000000001</v>
      </c>
      <c r="F74" s="55">
        <f>IF($D74="","",IF([1]設定!$I50="",INDEX([1]第３表!$F$10:$Q$66,MATCH([1]設定!$D50,[1]第３表!$C$10:$C$66,0),2),[1]設定!$I50))</f>
        <v>159.9</v>
      </c>
      <c r="G74" s="55">
        <f>IF($D74="","",IF([1]設定!$I50="",INDEX([1]第３表!$F$10:$Q$66,MATCH([1]設定!$D50,[1]第３表!$C$10:$C$66,0),3),[1]設定!$I50))</f>
        <v>144.9</v>
      </c>
      <c r="H74" s="55">
        <f>IF($D74="","",IF([1]設定!$I50="",INDEX([1]第３表!$F$10:$Q$66,MATCH([1]設定!$D50,[1]第３表!$C$10:$C$66,0),4),[1]設定!$I50))</f>
        <v>15</v>
      </c>
      <c r="I74" s="55">
        <f>IF($D74="","",IF([1]設定!$I50="",INDEX([1]第３表!$F$10:$Q$66,MATCH([1]設定!$D50,[1]第３表!$C$10:$C$66,0),5),[1]設定!$I50))</f>
        <v>18.899999999999999</v>
      </c>
      <c r="J74" s="55">
        <f>IF($D74="","",IF([1]設定!$I50="",INDEX([1]第３表!$F$10:$Q$66,MATCH([1]設定!$D50,[1]第３表!$C$10:$C$66,0),6),[1]設定!$I50))</f>
        <v>168.5</v>
      </c>
      <c r="K74" s="55">
        <f>IF($D74="","",IF([1]設定!$I50="",INDEX([1]第３表!$F$10:$Q$66,MATCH([1]設定!$D50,[1]第３表!$C$10:$C$66,0),7),[1]設定!$I50))</f>
        <v>149.69999999999999</v>
      </c>
      <c r="L74" s="55">
        <f>IF($D74="","",IF([1]設定!$I50="",INDEX([1]第３表!$F$10:$Q$66,MATCH([1]設定!$D50,[1]第３表!$C$10:$C$66,0),8),[1]設定!$I50))</f>
        <v>18.8</v>
      </c>
      <c r="M74" s="55">
        <f>IF($D74="","",IF([1]設定!$I50="",INDEX([1]第３表!$F$10:$Q$66,MATCH([1]設定!$D50,[1]第３表!$C$10:$C$66,0),9),[1]設定!$I50))</f>
        <v>18.100000000000001</v>
      </c>
      <c r="N74" s="55">
        <f>IF($D74="","",IF([1]設定!$I50="",INDEX([1]第３表!$F$10:$Q$66,MATCH([1]設定!$D50,[1]第３表!$C$10:$C$66,0),10),[1]設定!$I50))</f>
        <v>140.69999999999999</v>
      </c>
      <c r="O74" s="55">
        <f>IF($D74="","",IF([1]設定!$I50="",INDEX([1]第３表!$F$10:$Q$66,MATCH([1]設定!$D50,[1]第３表!$C$10:$C$66,0),11),[1]設定!$I50))</f>
        <v>134.30000000000001</v>
      </c>
      <c r="P74" s="55">
        <f>IF($D74="","",IF([1]設定!$I50="",INDEX([1]第３表!$F$10:$Q$66,MATCH([1]設定!$D50,[1]第３表!$C$10:$C$66,0),12),[1]設定!$I50))</f>
        <v>6.4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IF($D75="","",IF([1]設定!$I51="",INDEX([1]第３表!$F$10:$Q$66,MATCH([1]設定!$D51,[1]第３表!$C$10:$C$66,0),1),[1]設定!$I51))</f>
        <v>16.399999999999999</v>
      </c>
      <c r="F75" s="55">
        <f>IF($D75="","",IF([1]設定!$I51="",INDEX([1]第３表!$F$10:$Q$66,MATCH([1]設定!$D51,[1]第３表!$C$10:$C$66,0),2),[1]設定!$I51))</f>
        <v>133.19999999999999</v>
      </c>
      <c r="G75" s="55">
        <f>IF($D75="","",IF([1]設定!$I51="",INDEX([1]第３表!$F$10:$Q$66,MATCH([1]設定!$D51,[1]第３表!$C$10:$C$66,0),3),[1]設定!$I51))</f>
        <v>126</v>
      </c>
      <c r="H75" s="55">
        <f>IF($D75="","",IF([1]設定!$I51="",INDEX([1]第３表!$F$10:$Q$66,MATCH([1]設定!$D51,[1]第３表!$C$10:$C$66,0),4),[1]設定!$I51))</f>
        <v>7.2</v>
      </c>
      <c r="I75" s="55">
        <f>IF($D75="","",IF([1]設定!$I51="",INDEX([1]第３表!$F$10:$Q$66,MATCH([1]設定!$D51,[1]第３表!$C$10:$C$66,0),5),[1]設定!$I51))</f>
        <v>17</v>
      </c>
      <c r="J75" s="55">
        <f>IF($D75="","",IF([1]設定!$I51="",INDEX([1]第３表!$F$10:$Q$66,MATCH([1]設定!$D51,[1]第３表!$C$10:$C$66,0),6),[1]設定!$I51))</f>
        <v>140.1</v>
      </c>
      <c r="K75" s="55">
        <f>IF($D75="","",IF([1]設定!$I51="",INDEX([1]第３表!$F$10:$Q$66,MATCH([1]設定!$D51,[1]第３表!$C$10:$C$66,0),7),[1]設定!$I51))</f>
        <v>130.69999999999999</v>
      </c>
      <c r="L75" s="55">
        <f>IF($D75="","",IF([1]設定!$I51="",INDEX([1]第３表!$F$10:$Q$66,MATCH([1]設定!$D51,[1]第３表!$C$10:$C$66,0),8),[1]設定!$I51))</f>
        <v>9.4</v>
      </c>
      <c r="M75" s="55">
        <f>IF($D75="","",IF([1]設定!$I51="",INDEX([1]第３表!$F$10:$Q$66,MATCH([1]設定!$D51,[1]第３表!$C$10:$C$66,0),9),[1]設定!$I51))</f>
        <v>15.2</v>
      </c>
      <c r="N75" s="55">
        <f>IF($D75="","",IF([1]設定!$I51="",INDEX([1]第３表!$F$10:$Q$66,MATCH([1]設定!$D51,[1]第３表!$C$10:$C$66,0),10),[1]設定!$I51))</f>
        <v>118.7</v>
      </c>
      <c r="O75" s="55">
        <f>IF($D75="","",IF([1]設定!$I51="",INDEX([1]第３表!$F$10:$Q$66,MATCH([1]設定!$D51,[1]第３表!$C$10:$C$66,0),11),[1]設定!$I51))</f>
        <v>116</v>
      </c>
      <c r="P75" s="55">
        <f>IF($D75="","",IF([1]設定!$I51="",INDEX([1]第３表!$F$10:$Q$66,MATCH([1]設定!$D51,[1]第３表!$C$10:$C$66,0),12),[1]設定!$I51))</f>
        <v>2.7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IF($D76="","",IF([1]設定!$I52="",INDEX([1]第３表!$F$10:$Q$66,MATCH([1]設定!$D52,[1]第３表!$C$10:$C$66,0),1),[1]設定!$I52))</f>
        <v>15.7</v>
      </c>
      <c r="F76" s="55">
        <f>IF($D76="","",IF([1]設定!$I52="",INDEX([1]第３表!$F$10:$Q$66,MATCH([1]設定!$D52,[1]第３表!$C$10:$C$66,0),2),[1]設定!$I52))</f>
        <v>145.30000000000001</v>
      </c>
      <c r="G76" s="55">
        <f>IF($D76="","",IF([1]設定!$I52="",INDEX([1]第３表!$F$10:$Q$66,MATCH([1]設定!$D52,[1]第３表!$C$10:$C$66,0),3),[1]設定!$I52))</f>
        <v>126.8</v>
      </c>
      <c r="H76" s="55">
        <f>IF($D76="","",IF([1]設定!$I52="",INDEX([1]第３表!$F$10:$Q$66,MATCH([1]設定!$D52,[1]第３表!$C$10:$C$66,0),4),[1]設定!$I52))</f>
        <v>18.5</v>
      </c>
      <c r="I76" s="55">
        <f>IF($D76="","",IF([1]設定!$I52="",INDEX([1]第３表!$F$10:$Q$66,MATCH([1]設定!$D52,[1]第３表!$C$10:$C$66,0),5),[1]設定!$I52))</f>
        <v>15.7</v>
      </c>
      <c r="J76" s="55">
        <f>IF($D76="","",IF([1]設定!$I52="",INDEX([1]第３表!$F$10:$Q$66,MATCH([1]設定!$D52,[1]第３表!$C$10:$C$66,0),6),[1]設定!$I52))</f>
        <v>147.5</v>
      </c>
      <c r="K76" s="55">
        <f>IF($D76="","",IF([1]設定!$I52="",INDEX([1]第３表!$F$10:$Q$66,MATCH([1]設定!$D52,[1]第３表!$C$10:$C$66,0),7),[1]設定!$I52))</f>
        <v>127.4</v>
      </c>
      <c r="L76" s="55">
        <f>IF($D76="","",IF([1]設定!$I52="",INDEX([1]第３表!$F$10:$Q$66,MATCH([1]設定!$D52,[1]第３表!$C$10:$C$66,0),8),[1]設定!$I52))</f>
        <v>20.100000000000001</v>
      </c>
      <c r="M76" s="55">
        <f>IF($D76="","",IF([1]設定!$I52="",INDEX([1]第３表!$F$10:$Q$66,MATCH([1]設定!$D52,[1]第３表!$C$10:$C$66,0),9),[1]設定!$I52))</f>
        <v>15.8</v>
      </c>
      <c r="N76" s="55">
        <f>IF($D76="","",IF([1]設定!$I52="",INDEX([1]第３表!$F$10:$Q$66,MATCH([1]設定!$D52,[1]第３表!$C$10:$C$66,0),10),[1]設定!$I52))</f>
        <v>135.6</v>
      </c>
      <c r="O76" s="55">
        <f>IF($D76="","",IF([1]設定!$I52="",INDEX([1]第３表!$F$10:$Q$66,MATCH([1]設定!$D52,[1]第３表!$C$10:$C$66,0),11),[1]設定!$I52))</f>
        <v>124.2</v>
      </c>
      <c r="P76" s="55">
        <f>IF($D76="","",IF([1]設定!$I52="",INDEX([1]第３表!$F$10:$Q$66,MATCH([1]設定!$D52,[1]第３表!$C$10:$C$66,0),12),[1]設定!$I52))</f>
        <v>11.4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IF($D77="","",IF([1]設定!$I53="",INDEX([1]第３表!$F$10:$Q$66,MATCH([1]設定!$D53,[1]第３表!$C$10:$C$66,0),1),[1]設定!$I53))</f>
        <v>17.3</v>
      </c>
      <c r="F77" s="69">
        <f>IF($D77="","",IF([1]設定!$I53="",INDEX([1]第３表!$F$10:$Q$66,MATCH([1]設定!$D53,[1]第３表!$C$10:$C$66,0),2),[1]設定!$I53))</f>
        <v>152.5</v>
      </c>
      <c r="G77" s="69">
        <f>IF($D77="","",IF([1]設定!$I53="",INDEX([1]第３表!$F$10:$Q$66,MATCH([1]設定!$D53,[1]第３表!$C$10:$C$66,0),3),[1]設定!$I53))</f>
        <v>140.6</v>
      </c>
      <c r="H77" s="69">
        <f>IF($D77="","",IF([1]設定!$I53="",INDEX([1]第３表!$F$10:$Q$66,MATCH([1]設定!$D53,[1]第３表!$C$10:$C$66,0),4),[1]設定!$I53))</f>
        <v>11.9</v>
      </c>
      <c r="I77" s="69">
        <f>IF($D77="","",IF([1]設定!$I53="",INDEX([1]第３表!$F$10:$Q$66,MATCH([1]設定!$D53,[1]第３表!$C$10:$C$66,0),5),[1]設定!$I53))</f>
        <v>17.7</v>
      </c>
      <c r="J77" s="69">
        <f>IF($D77="","",IF([1]設定!$I53="",INDEX([1]第３表!$F$10:$Q$66,MATCH([1]設定!$D53,[1]第３表!$C$10:$C$66,0),6),[1]設定!$I53))</f>
        <v>160.9</v>
      </c>
      <c r="K77" s="69">
        <f>IF($D77="","",IF([1]設定!$I53="",INDEX([1]第３表!$F$10:$Q$66,MATCH([1]設定!$D53,[1]第３表!$C$10:$C$66,0),7),[1]設定!$I53))</f>
        <v>145.1</v>
      </c>
      <c r="L77" s="69">
        <f>IF($D77="","",IF([1]設定!$I53="",INDEX([1]第３表!$F$10:$Q$66,MATCH([1]設定!$D53,[1]第３表!$C$10:$C$66,0),8),[1]設定!$I53))</f>
        <v>15.8</v>
      </c>
      <c r="M77" s="69">
        <f>IF($D77="","",IF([1]設定!$I53="",INDEX([1]第３表!$F$10:$Q$66,MATCH([1]設定!$D53,[1]第３表!$C$10:$C$66,0),9),[1]設定!$I53))</f>
        <v>16.600000000000001</v>
      </c>
      <c r="N77" s="69">
        <f>IF($D77="","",IF([1]設定!$I53="",INDEX([1]第３表!$F$10:$Q$66,MATCH([1]設定!$D53,[1]第３表!$C$10:$C$66,0),10),[1]設定!$I53))</f>
        <v>140.1</v>
      </c>
      <c r="O77" s="69">
        <f>IF($D77="","",IF([1]設定!$I53="",INDEX([1]第３表!$F$10:$Q$66,MATCH([1]設定!$D53,[1]第３表!$C$10:$C$66,0),11),[1]設定!$I53))</f>
        <v>134</v>
      </c>
      <c r="P77" s="69">
        <f>IF($D77="","",IF([1]設定!$I53="",INDEX([1]第３表!$F$10:$Q$66,MATCH([1]設定!$D53,[1]第３表!$C$10:$C$66,0),12),[1]設定!$I53))</f>
        <v>6.1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IF($D78="","",IF([1]設定!$I54="",INDEX([1]第３表!$F$10:$Q$66,MATCH([1]設定!$D54,[1]第３表!$C$10:$C$66,0),1),[1]設定!$I54))</f>
        <v>16.8</v>
      </c>
      <c r="F78" s="73">
        <f>IF($D78="","",IF([1]設定!$I54="",INDEX([1]第３表!$F$10:$Q$66,MATCH([1]設定!$D54,[1]第３表!$C$10:$C$66,0),2),[1]設定!$I54))</f>
        <v>139.30000000000001</v>
      </c>
      <c r="G78" s="73">
        <f>IF($D78="","",IF([1]設定!$I54="",INDEX([1]第３表!$F$10:$Q$66,MATCH([1]設定!$D54,[1]第３表!$C$10:$C$66,0),3),[1]設定!$I54))</f>
        <v>131.80000000000001</v>
      </c>
      <c r="H78" s="73">
        <f>IF($D78="","",IF([1]設定!$I54="",INDEX([1]第３表!$F$10:$Q$66,MATCH([1]設定!$D54,[1]第３表!$C$10:$C$66,0),4),[1]設定!$I54))</f>
        <v>7.5</v>
      </c>
      <c r="I78" s="73">
        <f>IF($D78="","",IF([1]設定!$I54="",INDEX([1]第３表!$F$10:$Q$66,MATCH([1]設定!$D54,[1]第３表!$C$10:$C$66,0),5),[1]設定!$I54))</f>
        <v>17.2</v>
      </c>
      <c r="J78" s="73">
        <f>IF($D78="","",IF([1]設定!$I54="",INDEX([1]第３表!$F$10:$Q$66,MATCH([1]設定!$D54,[1]第３表!$C$10:$C$66,0),6),[1]設定!$I54))</f>
        <v>154.80000000000001</v>
      </c>
      <c r="K78" s="73">
        <f>IF($D78="","",IF([1]設定!$I54="",INDEX([1]第３表!$F$10:$Q$66,MATCH([1]設定!$D54,[1]第３表!$C$10:$C$66,0),7),[1]設定!$I54))</f>
        <v>143.5</v>
      </c>
      <c r="L78" s="73">
        <f>IF($D78="","",IF([1]設定!$I54="",INDEX([1]第３表!$F$10:$Q$66,MATCH([1]設定!$D54,[1]第３表!$C$10:$C$66,0),8),[1]設定!$I54))</f>
        <v>11.3</v>
      </c>
      <c r="M78" s="73">
        <f>IF($D78="","",IF([1]設定!$I54="",INDEX([1]第３表!$F$10:$Q$66,MATCH([1]設定!$D54,[1]第３表!$C$10:$C$66,0),9),[1]設定!$I54))</f>
        <v>16.600000000000001</v>
      </c>
      <c r="N78" s="73">
        <f>IF($D78="","",IF([1]設定!$I54="",INDEX([1]第３表!$F$10:$Q$66,MATCH([1]設定!$D54,[1]第３表!$C$10:$C$66,0),10),[1]設定!$I54))</f>
        <v>127.7</v>
      </c>
      <c r="O78" s="73">
        <f>IF($D78="","",IF([1]設定!$I54="",INDEX([1]第３表!$F$10:$Q$66,MATCH([1]設定!$D54,[1]第３表!$C$10:$C$66,0),11),[1]設定!$I54))</f>
        <v>123.1</v>
      </c>
      <c r="P78" s="73">
        <f>IF($D78="","",IF([1]設定!$I54="",INDEX([1]第３表!$F$10:$Q$66,MATCH([1]設定!$D54,[1]第３表!$C$10:$C$66,0),12),[1]設定!$I54))</f>
        <v>4.5999999999999996</v>
      </c>
    </row>
  </sheetData>
  <phoneticPr fontId="2"/>
  <printOptions horizontalCentered="1"/>
  <pageMargins left="0.59055118110236227" right="0.59055118110236227" top="0.35433070866141736" bottom="0.59055118110236227" header="0" footer="0.59055118110236227"/>
  <pageSetup paperSize="9" scale="59" orientation="portrait" blackAndWhite="1" cellComments="atEnd" horizontalDpi="300" verticalDpi="300" r:id="rId1"/>
  <headerFooter scaleWithDoc="0" alignWithMargins="0">
    <oddFooter>&amp;C- 15 -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82C65-F081-4145-B40B-5F5EA461406A}">
  <sheetPr>
    <pageSetUpPr fitToPage="1"/>
  </sheetPr>
  <dimension ref="A1:R78"/>
  <sheetViews>
    <sheetView showGridLines="0" view="pageBreakPreview" topLeftCell="A59" zoomScale="80" zoomScaleNormal="80" zoomScaleSheetLayoutView="80" workbookViewId="0">
      <selection activeCell="T24" sqref="T24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4.5976562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（"&amp;[19]設定!D8&amp;DBCS([19]設定!E8)&amp;"年"&amp;DBCS([19]設定!F8)&amp;"月）"</f>
        <v>　　    （令和５年１０月）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+[20]第５表!B9</f>
        <v>TL</v>
      </c>
      <c r="C9" s="46"/>
      <c r="D9" s="47" t="str">
        <f>+[20]第５表!D9</f>
        <v>調査産業計</v>
      </c>
      <c r="E9" s="48">
        <f>IF($D9="","",IF([19]設定!$H23="",INDEX([19]第３表!$F$80:$Q$136,MATCH([19]設定!$D23,[19]第３表!$C$80:$C$136,0),1),[19]設定!$H23))</f>
        <v>18.5</v>
      </c>
      <c r="F9" s="48">
        <f>IF($D9="","",IF([19]設定!$H23="",INDEX([19]第３表!$F$80:$Q$136,MATCH([19]設定!$D23,[19]第３表!$C$80:$C$136,0),2),[19]設定!$H23))</f>
        <v>141.5</v>
      </c>
      <c r="G9" s="48">
        <f>IF($D9="","",IF([19]設定!$H23="",INDEX([19]第３表!$F$80:$Q$136,MATCH([19]設定!$D23,[19]第３表!$C$80:$C$136,0),3),[19]設定!$H23))</f>
        <v>132.1</v>
      </c>
      <c r="H9" s="48">
        <f>IF($D9="","",IF([19]設定!$H23="",INDEX([19]第３表!$F$80:$Q$136,MATCH([19]設定!$D23,[19]第３表!$C$80:$C$136,0),4),[19]設定!$H23))</f>
        <v>9.4</v>
      </c>
      <c r="I9" s="48">
        <f>IF($D9="","",IF([19]設定!$H23="",INDEX([19]第３表!$F$80:$Q$136,MATCH([19]設定!$D23,[19]第３表!$C$80:$C$136,0),5),[19]設定!$H23))</f>
        <v>19.399999999999999</v>
      </c>
      <c r="J9" s="48">
        <f>IF($D9="","",IF([19]設定!$H23="",INDEX([19]第３表!$F$80:$Q$136,MATCH([19]設定!$D23,[19]第３表!$C$80:$C$136,0),6),[19]設定!$H23))</f>
        <v>158.19999999999999</v>
      </c>
      <c r="K9" s="48">
        <f>IF($D9="","",IF([19]設定!$H23="",INDEX([19]第３表!$F$80:$Q$136,MATCH([19]設定!$D23,[19]第３表!$C$80:$C$136,0),7),[19]設定!$H23))</f>
        <v>144.4</v>
      </c>
      <c r="L9" s="48">
        <f>IF($D9="","",IF([19]設定!$H23="",INDEX([19]第３表!$F$80:$Q$136,MATCH([19]設定!$D23,[19]第３表!$C$80:$C$136,0),8),[19]設定!$H23))</f>
        <v>13.8</v>
      </c>
      <c r="M9" s="48">
        <f>IF($D9="","",IF([19]設定!$H23="",INDEX([19]第３表!$F$80:$Q$136,MATCH([19]設定!$D23,[19]第３表!$C$80:$C$136,0),9),[19]設定!$H23))</f>
        <v>17.7</v>
      </c>
      <c r="N9" s="48">
        <f>IF($D9="","",IF([19]設定!$H23="",INDEX([19]第３表!$F$80:$Q$136,MATCH([19]設定!$D23,[19]第３表!$C$80:$C$136,0),10),[19]設定!$H23))</f>
        <v>125.3</v>
      </c>
      <c r="O9" s="48">
        <f>IF($D9="","",IF([19]設定!$H23="",INDEX([19]第３表!$F$80:$Q$136,MATCH([19]設定!$D23,[19]第３表!$C$80:$C$136,0),11),[19]設定!$H23))</f>
        <v>120.1</v>
      </c>
      <c r="P9" s="48">
        <f>IF($D9="","",IF([19]設定!$H23="",INDEX([19]第３表!$F$80:$Q$136,MATCH([19]設定!$D23,[19]第３表!$C$80:$C$136,0),12),[19]設定!$H23))</f>
        <v>5.2</v>
      </c>
    </row>
    <row r="10" spans="1:18" s="8" customFormat="1" ht="17.25" customHeight="1" x14ac:dyDescent="0.45">
      <c r="B10" s="49" t="str">
        <f>+[20]第５表!B10</f>
        <v>D</v>
      </c>
      <c r="C10" s="50"/>
      <c r="D10" s="51" t="str">
        <f>+[20]第５表!D10</f>
        <v>建設業</v>
      </c>
      <c r="E10" s="52">
        <f>IF($D10="","",IF([19]設定!$H24="",INDEX([19]第３表!$F$80:$Q$136,MATCH([19]設定!$D24,[19]第３表!$C$80:$C$136,0),1),[19]設定!$H24))</f>
        <v>21.6</v>
      </c>
      <c r="F10" s="52">
        <f>IF($D10="","",IF([19]設定!$H24="",INDEX([19]第３表!$F$80:$Q$136,MATCH([19]設定!$D24,[19]第３表!$C$80:$C$136,0),2),[19]設定!$H24))</f>
        <v>167.8</v>
      </c>
      <c r="G10" s="52">
        <f>IF($D10="","",IF([19]設定!$H24="",INDEX([19]第３表!$F$80:$Q$136,MATCH([19]設定!$D24,[19]第３表!$C$80:$C$136,0),3),[19]設定!$H24))</f>
        <v>160.1</v>
      </c>
      <c r="H10" s="53">
        <f>IF($D10="","",IF([19]設定!$H24="",INDEX([19]第３表!$F$80:$Q$136,MATCH([19]設定!$D24,[19]第３表!$C$80:$C$136,0),4),[19]設定!$H24))</f>
        <v>7.7</v>
      </c>
      <c r="I10" s="54">
        <f>IF($D10="","",IF([19]設定!$H24="",INDEX([19]第３表!$F$80:$Q$136,MATCH([19]設定!$D24,[19]第３表!$C$80:$C$136,0),5),[19]設定!$H24))</f>
        <v>21.8</v>
      </c>
      <c r="J10" s="54">
        <f>IF($D10="","",IF([19]設定!$H24="",INDEX([19]第３表!$F$80:$Q$136,MATCH([19]設定!$D24,[19]第３表!$C$80:$C$136,0),6),[19]設定!$H24))</f>
        <v>171.1</v>
      </c>
      <c r="K10" s="54">
        <f>IF($D10="","",IF([19]設定!$H24="",INDEX([19]第３表!$F$80:$Q$136,MATCH([19]設定!$D24,[19]第３表!$C$80:$C$136,0),7),[19]設定!$H24))</f>
        <v>162.6</v>
      </c>
      <c r="L10" s="55">
        <f>IF($D10="","",IF([19]設定!$H24="",INDEX([19]第３表!$F$80:$Q$136,MATCH([19]設定!$D24,[19]第３表!$C$80:$C$136,0),8),[19]設定!$H24))</f>
        <v>8.5</v>
      </c>
      <c r="M10" s="56">
        <f>IF($D10="","",IF([19]設定!$H24="",INDEX([19]第３表!$F$80:$Q$136,MATCH([19]設定!$D24,[19]第３表!$C$80:$C$136,0),9),[19]設定!$H24))</f>
        <v>20.399999999999999</v>
      </c>
      <c r="N10" s="56">
        <f>IF($D10="","",IF([19]設定!$H24="",INDEX([19]第３表!$F$80:$Q$136,MATCH([19]設定!$D24,[19]第３表!$C$80:$C$136,0),10),[19]設定!$H24))</f>
        <v>147.9</v>
      </c>
      <c r="O10" s="56">
        <f>IF($D10="","",IF([19]設定!$H24="",INDEX([19]第３表!$F$80:$Q$136,MATCH([19]設定!$D24,[19]第３表!$C$80:$C$136,0),11),[19]設定!$H24))</f>
        <v>144.9</v>
      </c>
      <c r="P10" s="57">
        <f>IF($D10="","",IF([19]設定!$H24="",INDEX([19]第３表!$F$80:$Q$136,MATCH([19]設定!$D24,[19]第３表!$C$80:$C$136,0),12),[19]設定!$H24))</f>
        <v>3</v>
      </c>
    </row>
    <row r="11" spans="1:18" s="8" customFormat="1" ht="17.25" customHeight="1" x14ac:dyDescent="0.45">
      <c r="B11" s="49" t="str">
        <f>+[20]第５表!B11</f>
        <v>E</v>
      </c>
      <c r="C11" s="50"/>
      <c r="D11" s="51" t="str">
        <f>+[20]第５表!D11</f>
        <v>製造業</v>
      </c>
      <c r="E11" s="52">
        <f>IF($D11="","",IF([19]設定!$H25="",INDEX([19]第３表!$F$80:$Q$136,MATCH([19]設定!$D25,[19]第３表!$C$80:$C$136,0),1),[19]設定!$H25))</f>
        <v>19.600000000000001</v>
      </c>
      <c r="F11" s="52">
        <f>IF($D11="","",IF([19]設定!$H25="",INDEX([19]第３表!$F$80:$Q$136,MATCH([19]設定!$D25,[19]第３表!$C$80:$C$136,0),2),[19]設定!$H25))</f>
        <v>158.19999999999999</v>
      </c>
      <c r="G11" s="52">
        <f>IF($D11="","",IF([19]設定!$H25="",INDEX([19]第３表!$F$80:$Q$136,MATCH([19]設定!$D25,[19]第３表!$C$80:$C$136,0),3),[19]設定!$H25))</f>
        <v>146</v>
      </c>
      <c r="H11" s="53">
        <f>IF($D11="","",IF([19]設定!$H25="",INDEX([19]第３表!$F$80:$Q$136,MATCH([19]設定!$D25,[19]第３表!$C$80:$C$136,0),4),[19]設定!$H25))</f>
        <v>12.2</v>
      </c>
      <c r="I11" s="54">
        <f>IF($D11="","",IF([19]設定!$H25="",INDEX([19]第３表!$F$80:$Q$136,MATCH([19]設定!$D25,[19]第３表!$C$80:$C$136,0),5),[19]設定!$H25))</f>
        <v>20</v>
      </c>
      <c r="J11" s="54">
        <f>IF($D11="","",IF([19]設定!$H25="",INDEX([19]第３表!$F$80:$Q$136,MATCH([19]設定!$D25,[19]第３表!$C$80:$C$136,0),6),[19]設定!$H25))</f>
        <v>169</v>
      </c>
      <c r="K11" s="54">
        <f>IF($D11="","",IF([19]設定!$H25="",INDEX([19]第３表!$F$80:$Q$136,MATCH([19]設定!$D25,[19]第３表!$C$80:$C$136,0),7),[19]設定!$H25))</f>
        <v>152.69999999999999</v>
      </c>
      <c r="L11" s="55">
        <f>IF($D11="","",IF([19]設定!$H25="",INDEX([19]第３表!$F$80:$Q$136,MATCH([19]設定!$D25,[19]第３表!$C$80:$C$136,0),8),[19]設定!$H25))</f>
        <v>16.3</v>
      </c>
      <c r="M11" s="56">
        <f>IF($D11="","",IF([19]設定!$H25="",INDEX([19]第３表!$F$80:$Q$136,MATCH([19]設定!$D25,[19]第３表!$C$80:$C$136,0),9),[19]設定!$H25))</f>
        <v>19</v>
      </c>
      <c r="N11" s="56">
        <f>IF($D11="","",IF([19]設定!$H25="",INDEX([19]第３表!$F$80:$Q$136,MATCH([19]設定!$D25,[19]第３表!$C$80:$C$136,0),10),[19]設定!$H25))</f>
        <v>143.5</v>
      </c>
      <c r="O11" s="56">
        <f>IF($D11="","",IF([19]設定!$H25="",INDEX([19]第３表!$F$80:$Q$136,MATCH([19]設定!$D25,[19]第３表!$C$80:$C$136,0),11),[19]設定!$H25))</f>
        <v>136.80000000000001</v>
      </c>
      <c r="P11" s="57">
        <f>IF($D11="","",IF([19]設定!$H25="",INDEX([19]第３表!$F$80:$Q$136,MATCH([19]設定!$D25,[19]第３表!$C$80:$C$136,0),12),[19]設定!$H25))</f>
        <v>6.7</v>
      </c>
    </row>
    <row r="12" spans="1:18" s="8" customFormat="1" ht="17.25" customHeight="1" x14ac:dyDescent="0.45">
      <c r="B12" s="49" t="str">
        <f>+[20]第５表!B12</f>
        <v>F</v>
      </c>
      <c r="C12" s="50"/>
      <c r="D12" s="58" t="str">
        <f>+[20]第５表!D12</f>
        <v>電気・ガス・熱供給・水道業</v>
      </c>
      <c r="E12" s="52">
        <f>IF($D12="","",IF([19]設定!$H26="",INDEX([19]第３表!$F$80:$Q$136,MATCH([19]設定!$D26,[19]第３表!$C$80:$C$136,0),1),[19]設定!$H26))</f>
        <v>19.2</v>
      </c>
      <c r="F12" s="52">
        <f>IF($D12="","",IF([19]設定!$H26="",INDEX([19]第３表!$F$80:$Q$136,MATCH([19]設定!$D26,[19]第３表!$C$80:$C$136,0),2),[19]設定!$H26))</f>
        <v>156.6</v>
      </c>
      <c r="G12" s="52">
        <f>IF($D12="","",IF([19]設定!$H26="",INDEX([19]第３表!$F$80:$Q$136,MATCH([19]設定!$D26,[19]第３表!$C$80:$C$136,0),3),[19]設定!$H26))</f>
        <v>140.4</v>
      </c>
      <c r="H12" s="53">
        <f>IF($D12="","",IF([19]設定!$H26="",INDEX([19]第３表!$F$80:$Q$136,MATCH([19]設定!$D26,[19]第３表!$C$80:$C$136,0),4),[19]設定!$H26))</f>
        <v>16.2</v>
      </c>
      <c r="I12" s="54">
        <f>IF($D12="","",IF([19]設定!$H26="",INDEX([19]第３表!$F$80:$Q$136,MATCH([19]設定!$D26,[19]第３表!$C$80:$C$136,0),5),[19]設定!$H26))</f>
        <v>19.2</v>
      </c>
      <c r="J12" s="54">
        <f>IF($D12="","",IF([19]設定!$H26="",INDEX([19]第３表!$F$80:$Q$136,MATCH([19]設定!$D26,[19]第３表!$C$80:$C$136,0),6),[19]設定!$H26))</f>
        <v>160.1</v>
      </c>
      <c r="K12" s="54">
        <f>IF($D12="","",IF([19]設定!$H26="",INDEX([19]第３表!$F$80:$Q$136,MATCH([19]設定!$D26,[19]第３表!$C$80:$C$136,0),7),[19]設定!$H26))</f>
        <v>142.4</v>
      </c>
      <c r="L12" s="55">
        <f>IF($D12="","",IF([19]設定!$H26="",INDEX([19]第３表!$F$80:$Q$136,MATCH([19]設定!$D26,[19]第３表!$C$80:$C$136,0),8),[19]設定!$H26))</f>
        <v>17.7</v>
      </c>
      <c r="M12" s="56">
        <f>IF($D12="","",IF([19]設定!$H26="",INDEX([19]第３表!$F$80:$Q$136,MATCH([19]設定!$D26,[19]第３表!$C$80:$C$136,0),9),[19]設定!$H26))</f>
        <v>19</v>
      </c>
      <c r="N12" s="56">
        <f>IF($D12="","",IF([19]設定!$H26="",INDEX([19]第３表!$F$80:$Q$136,MATCH([19]設定!$D26,[19]第３表!$C$80:$C$136,0),10),[19]設定!$H26))</f>
        <v>135.19999999999999</v>
      </c>
      <c r="O12" s="56">
        <f>IF($D12="","",IF([19]設定!$H26="",INDEX([19]第３表!$F$80:$Q$136,MATCH([19]設定!$D26,[19]第３表!$C$80:$C$136,0),11),[19]設定!$H26))</f>
        <v>128.19999999999999</v>
      </c>
      <c r="P12" s="57">
        <f>IF($D12="","",IF([19]設定!$H26="",INDEX([19]第３表!$F$80:$Q$136,MATCH([19]設定!$D26,[19]第３表!$C$80:$C$136,0),12),[19]設定!$H26))</f>
        <v>7</v>
      </c>
    </row>
    <row r="13" spans="1:18" s="8" customFormat="1" ht="17.25" customHeight="1" x14ac:dyDescent="0.45">
      <c r="B13" s="49" t="str">
        <f>+[20]第５表!B13</f>
        <v>G</v>
      </c>
      <c r="C13" s="50"/>
      <c r="D13" s="51" t="str">
        <f>+[20]第５表!D13</f>
        <v>情報通信業</v>
      </c>
      <c r="E13" s="52">
        <f>IF($D13="","",IF([19]設定!$H27="",INDEX([19]第３表!$F$80:$Q$136,MATCH([19]設定!$D27,[19]第３表!$C$80:$C$136,0),1),[19]設定!$H27))</f>
        <v>19.399999999999999</v>
      </c>
      <c r="F13" s="52">
        <f>IF($D13="","",IF([19]設定!$H27="",INDEX([19]第３表!$F$80:$Q$136,MATCH([19]設定!$D27,[19]第３表!$C$80:$C$136,0),2),[19]設定!$H27))</f>
        <v>156.4</v>
      </c>
      <c r="G13" s="52">
        <f>IF($D13="","",IF([19]設定!$H27="",INDEX([19]第３表!$F$80:$Q$136,MATCH([19]設定!$D27,[19]第３表!$C$80:$C$136,0),3),[19]設定!$H27))</f>
        <v>144.5</v>
      </c>
      <c r="H13" s="53">
        <f>IF($D13="","",IF([19]設定!$H27="",INDEX([19]第３表!$F$80:$Q$136,MATCH([19]設定!$D27,[19]第３表!$C$80:$C$136,0),4),[19]設定!$H27))</f>
        <v>11.9</v>
      </c>
      <c r="I13" s="54">
        <f>IF($D13="","",IF([19]設定!$H27="",INDEX([19]第３表!$F$80:$Q$136,MATCH([19]設定!$D27,[19]第３表!$C$80:$C$136,0),5),[19]設定!$H27))</f>
        <v>19.5</v>
      </c>
      <c r="J13" s="54">
        <f>IF($D13="","",IF([19]設定!$H27="",INDEX([19]第３表!$F$80:$Q$136,MATCH([19]設定!$D27,[19]第３表!$C$80:$C$136,0),6),[19]設定!$H27))</f>
        <v>158.6</v>
      </c>
      <c r="K13" s="54">
        <f>IF($D13="","",IF([19]設定!$H27="",INDEX([19]第３表!$F$80:$Q$136,MATCH([19]設定!$D27,[19]第３表!$C$80:$C$136,0),7),[19]設定!$H27))</f>
        <v>146.4</v>
      </c>
      <c r="L13" s="55">
        <f>IF($D13="","",IF([19]設定!$H27="",INDEX([19]第３表!$F$80:$Q$136,MATCH([19]設定!$D27,[19]第３表!$C$80:$C$136,0),8),[19]設定!$H27))</f>
        <v>12.2</v>
      </c>
      <c r="M13" s="56">
        <f>IF($D13="","",IF([19]設定!$H27="",INDEX([19]第３表!$F$80:$Q$136,MATCH([19]設定!$D27,[19]第３表!$C$80:$C$136,0),9),[19]設定!$H27))</f>
        <v>19.100000000000001</v>
      </c>
      <c r="N13" s="56">
        <f>IF($D13="","",IF([19]設定!$H27="",INDEX([19]第３表!$F$80:$Q$136,MATCH([19]設定!$D27,[19]第３表!$C$80:$C$136,0),10),[19]設定!$H27))</f>
        <v>151.9</v>
      </c>
      <c r="O13" s="56">
        <f>IF($D13="","",IF([19]設定!$H27="",INDEX([19]第３表!$F$80:$Q$136,MATCH([19]設定!$D27,[19]第３表!$C$80:$C$136,0),11),[19]設定!$H27))</f>
        <v>140.69999999999999</v>
      </c>
      <c r="P13" s="57">
        <f>IF($D13="","",IF([19]設定!$H27="",INDEX([19]第３表!$F$80:$Q$136,MATCH([19]設定!$D27,[19]第３表!$C$80:$C$136,0),12),[19]設定!$H27))</f>
        <v>11.2</v>
      </c>
    </row>
    <row r="14" spans="1:18" s="8" customFormat="1" ht="17.25" customHeight="1" x14ac:dyDescent="0.45">
      <c r="B14" s="49" t="str">
        <f>+[20]第５表!B14</f>
        <v>H</v>
      </c>
      <c r="C14" s="50"/>
      <c r="D14" s="51" t="str">
        <f>+[20]第５表!D14</f>
        <v>運輸業，郵便業</v>
      </c>
      <c r="E14" s="52">
        <f>IF($D14="","",IF([19]設定!$H28="",INDEX([19]第３表!$F$80:$Q$136,MATCH([19]設定!$D28,[19]第３表!$C$80:$C$136,0),1),[19]設定!$H28))</f>
        <v>20.5</v>
      </c>
      <c r="F14" s="52">
        <f>IF($D14="","",IF([19]設定!$H28="",INDEX([19]第３表!$F$80:$Q$136,MATCH([19]設定!$D28,[19]第３表!$C$80:$C$136,0),2),[19]設定!$H28))</f>
        <v>184.8</v>
      </c>
      <c r="G14" s="52">
        <f>IF($D14="","",IF([19]設定!$H28="",INDEX([19]第３表!$F$80:$Q$136,MATCH([19]設定!$D28,[19]第３表!$C$80:$C$136,0),3),[19]設定!$H28))</f>
        <v>156.5</v>
      </c>
      <c r="H14" s="53">
        <f>IF($D14="","",IF([19]設定!$H28="",INDEX([19]第３表!$F$80:$Q$136,MATCH([19]設定!$D28,[19]第３表!$C$80:$C$136,0),4),[19]設定!$H28))</f>
        <v>28.3</v>
      </c>
      <c r="I14" s="54">
        <f>IF($D14="","",IF([19]設定!$H28="",INDEX([19]第３表!$F$80:$Q$136,MATCH([19]設定!$D28,[19]第３表!$C$80:$C$136,0),5),[19]設定!$H28))</f>
        <v>20.7</v>
      </c>
      <c r="J14" s="54">
        <f>IF($D14="","",IF([19]設定!$H28="",INDEX([19]第３表!$F$80:$Q$136,MATCH([19]設定!$D28,[19]第３表!$C$80:$C$136,0),6),[19]設定!$H28))</f>
        <v>190.2</v>
      </c>
      <c r="K14" s="54">
        <f>IF($D14="","",IF([19]設定!$H28="",INDEX([19]第３表!$F$80:$Q$136,MATCH([19]設定!$D28,[19]第３表!$C$80:$C$136,0),7),[19]設定!$H28))</f>
        <v>159</v>
      </c>
      <c r="L14" s="55">
        <f>IF($D14="","",IF([19]設定!$H28="",INDEX([19]第３表!$F$80:$Q$136,MATCH([19]設定!$D28,[19]第３表!$C$80:$C$136,0),8),[19]設定!$H28))</f>
        <v>31.2</v>
      </c>
      <c r="M14" s="56">
        <f>IF($D14="","",IF([19]設定!$H28="",INDEX([19]第３表!$F$80:$Q$136,MATCH([19]設定!$D28,[19]第３表!$C$80:$C$136,0),9),[19]設定!$H28))</f>
        <v>19</v>
      </c>
      <c r="N14" s="56">
        <f>IF($D14="","",IF([19]設定!$H28="",INDEX([19]第３表!$F$80:$Q$136,MATCH([19]設定!$D28,[19]第３表!$C$80:$C$136,0),10),[19]設定!$H28))</f>
        <v>143.30000000000001</v>
      </c>
      <c r="O14" s="56">
        <f>IF($D14="","",IF([19]設定!$H28="",INDEX([19]第３表!$F$80:$Q$136,MATCH([19]設定!$D28,[19]第３表!$C$80:$C$136,0),11),[19]設定!$H28))</f>
        <v>137.1</v>
      </c>
      <c r="P14" s="57">
        <f>IF($D14="","",IF([19]設定!$H28="",INDEX([19]第３表!$F$80:$Q$136,MATCH([19]設定!$D28,[19]第３表!$C$80:$C$136,0),12),[19]設定!$H28))</f>
        <v>6.2</v>
      </c>
    </row>
    <row r="15" spans="1:18" s="8" customFormat="1" ht="17.25" customHeight="1" x14ac:dyDescent="0.45">
      <c r="B15" s="49" t="str">
        <f>+[20]第５表!B15</f>
        <v>I</v>
      </c>
      <c r="C15" s="50"/>
      <c r="D15" s="51" t="str">
        <f>+[20]第５表!D15</f>
        <v>卸売業，小売業</v>
      </c>
      <c r="E15" s="52">
        <f>IF($D15="","",IF([19]設定!$H29="",INDEX([19]第３表!$F$80:$Q$136,MATCH([19]設定!$D29,[19]第３表!$C$80:$C$136,0),1),[19]設定!$H29))</f>
        <v>17.7</v>
      </c>
      <c r="F15" s="52">
        <f>IF($D15="","",IF([19]設定!$H29="",INDEX([19]第３表!$F$80:$Q$136,MATCH([19]設定!$D29,[19]第３表!$C$80:$C$136,0),2),[19]設定!$H29))</f>
        <v>131.69999999999999</v>
      </c>
      <c r="G15" s="52">
        <f>IF($D15="","",IF([19]設定!$H29="",INDEX([19]第３表!$F$80:$Q$136,MATCH([19]設定!$D29,[19]第３表!$C$80:$C$136,0),3),[19]設定!$H29))</f>
        <v>123.7</v>
      </c>
      <c r="H15" s="53">
        <f>IF($D15="","",IF([19]設定!$H29="",INDEX([19]第３表!$F$80:$Q$136,MATCH([19]設定!$D29,[19]第３表!$C$80:$C$136,0),4),[19]設定!$H29))</f>
        <v>8</v>
      </c>
      <c r="I15" s="54">
        <f>IF($D15="","",IF([19]設定!$H29="",INDEX([19]第３表!$F$80:$Q$136,MATCH([19]設定!$D29,[19]第３表!$C$80:$C$136,0),5),[19]設定!$H29))</f>
        <v>18.5</v>
      </c>
      <c r="J15" s="54">
        <f>IF($D15="","",IF([19]設定!$H29="",INDEX([19]第３表!$F$80:$Q$136,MATCH([19]設定!$D29,[19]第３表!$C$80:$C$136,0),6),[19]設定!$H29))</f>
        <v>152.19999999999999</v>
      </c>
      <c r="K15" s="54">
        <f>IF($D15="","",IF([19]設定!$H29="",INDEX([19]第３表!$F$80:$Q$136,MATCH([19]設定!$D29,[19]第３表!$C$80:$C$136,0),7),[19]設定!$H29))</f>
        <v>139.6</v>
      </c>
      <c r="L15" s="55">
        <f>IF($D15="","",IF([19]設定!$H29="",INDEX([19]第３表!$F$80:$Q$136,MATCH([19]設定!$D29,[19]第３表!$C$80:$C$136,0),8),[19]設定!$H29))</f>
        <v>12.6</v>
      </c>
      <c r="M15" s="56">
        <f>IF($D15="","",IF([19]設定!$H29="",INDEX([19]第３表!$F$80:$Q$136,MATCH([19]設定!$D29,[19]第３表!$C$80:$C$136,0),9),[19]設定!$H29))</f>
        <v>16.8</v>
      </c>
      <c r="N15" s="56">
        <f>IF($D15="","",IF([19]設定!$H29="",INDEX([19]第３表!$F$80:$Q$136,MATCH([19]設定!$D29,[19]第３表!$C$80:$C$136,0),10),[19]設定!$H29))</f>
        <v>110.4</v>
      </c>
      <c r="O15" s="56">
        <f>IF($D15="","",IF([19]設定!$H29="",INDEX([19]第３表!$F$80:$Q$136,MATCH([19]設定!$D29,[19]第３表!$C$80:$C$136,0),11),[19]設定!$H29))</f>
        <v>107.2</v>
      </c>
      <c r="P15" s="57">
        <f>IF($D15="","",IF([19]設定!$H29="",INDEX([19]第３表!$F$80:$Q$136,MATCH([19]設定!$D29,[19]第３表!$C$80:$C$136,0),12),[19]設定!$H29))</f>
        <v>3.2</v>
      </c>
    </row>
    <row r="16" spans="1:18" s="8" customFormat="1" ht="17.25" customHeight="1" x14ac:dyDescent="0.45">
      <c r="B16" s="49" t="str">
        <f>+[20]第５表!B16</f>
        <v>J</v>
      </c>
      <c r="C16" s="50"/>
      <c r="D16" s="51" t="str">
        <f>+[20]第５表!D16</f>
        <v>金融業，保険業</v>
      </c>
      <c r="E16" s="52">
        <f>IF($D16="","",IF([19]設定!$H30="",INDEX([19]第３表!$F$80:$Q$136,MATCH([19]設定!$D30,[19]第３表!$C$80:$C$136,0),1),[19]設定!$H30))</f>
        <v>18.899999999999999</v>
      </c>
      <c r="F16" s="52">
        <f>IF($D16="","",IF([19]設定!$H30="",INDEX([19]第３表!$F$80:$Q$136,MATCH([19]設定!$D30,[19]第３表!$C$80:$C$136,0),2),[19]設定!$H30))</f>
        <v>145.9</v>
      </c>
      <c r="G16" s="52">
        <f>IF($D16="","",IF([19]設定!$H30="",INDEX([19]第３表!$F$80:$Q$136,MATCH([19]設定!$D30,[19]第３表!$C$80:$C$136,0),3),[19]設定!$H30))</f>
        <v>139.5</v>
      </c>
      <c r="H16" s="53">
        <f>IF($D16="","",IF([19]設定!$H30="",INDEX([19]第３表!$F$80:$Q$136,MATCH([19]設定!$D30,[19]第３表!$C$80:$C$136,0),4),[19]設定!$H30))</f>
        <v>6.4</v>
      </c>
      <c r="I16" s="54">
        <f>IF($D16="","",IF([19]設定!$H30="",INDEX([19]第３表!$F$80:$Q$136,MATCH([19]設定!$D30,[19]第３表!$C$80:$C$136,0),5),[19]設定!$H30))</f>
        <v>19.8</v>
      </c>
      <c r="J16" s="54">
        <f>IF($D16="","",IF([19]設定!$H30="",INDEX([19]第３表!$F$80:$Q$136,MATCH([19]設定!$D30,[19]第３表!$C$80:$C$136,0),6),[19]設定!$H30))</f>
        <v>159.6</v>
      </c>
      <c r="K16" s="54">
        <f>IF($D16="","",IF([19]設定!$H30="",INDEX([19]第３表!$F$80:$Q$136,MATCH([19]設定!$D30,[19]第３表!$C$80:$C$136,0),7),[19]設定!$H30))</f>
        <v>150.69999999999999</v>
      </c>
      <c r="L16" s="55">
        <f>IF($D16="","",IF([19]設定!$H30="",INDEX([19]第３表!$F$80:$Q$136,MATCH([19]設定!$D30,[19]第３表!$C$80:$C$136,0),8),[19]設定!$H30))</f>
        <v>8.9</v>
      </c>
      <c r="M16" s="56">
        <f>IF($D16="","",IF([19]設定!$H30="",INDEX([19]第３表!$F$80:$Q$136,MATCH([19]設定!$D30,[19]第３表!$C$80:$C$136,0),9),[19]設定!$H30))</f>
        <v>18.2</v>
      </c>
      <c r="N16" s="56">
        <f>IF($D16="","",IF([19]設定!$H30="",INDEX([19]第３表!$F$80:$Q$136,MATCH([19]設定!$D30,[19]第３表!$C$80:$C$136,0),10),[19]設定!$H30))</f>
        <v>133.69999999999999</v>
      </c>
      <c r="O16" s="56">
        <f>IF($D16="","",IF([19]設定!$H30="",INDEX([19]第３表!$F$80:$Q$136,MATCH([19]設定!$D30,[19]第３表!$C$80:$C$136,0),11),[19]設定!$H30))</f>
        <v>129.6</v>
      </c>
      <c r="P16" s="57">
        <f>IF($D16="","",IF([19]設定!$H30="",INDEX([19]第３表!$F$80:$Q$136,MATCH([19]設定!$D30,[19]第３表!$C$80:$C$136,0),12),[19]設定!$H30))</f>
        <v>4.0999999999999996</v>
      </c>
    </row>
    <row r="17" spans="2:16" s="8" customFormat="1" ht="17.25" customHeight="1" x14ac:dyDescent="0.45">
      <c r="B17" s="49" t="str">
        <f>+[20]第５表!B17</f>
        <v>K</v>
      </c>
      <c r="C17" s="50"/>
      <c r="D17" s="51" t="str">
        <f>+[20]第５表!D17</f>
        <v>不動産業，物品賃貸業</v>
      </c>
      <c r="E17" s="52">
        <f>IF($D17="","",IF([19]設定!$H31="",INDEX([19]第３表!$F$80:$Q$136,MATCH([19]設定!$D31,[19]第３表!$C$80:$C$136,0),1),[19]設定!$H31))</f>
        <v>17.100000000000001</v>
      </c>
      <c r="F17" s="52">
        <f>IF($D17="","",IF([19]設定!$H31="",INDEX([19]第３表!$F$80:$Q$136,MATCH([19]設定!$D31,[19]第３表!$C$80:$C$136,0),2),[19]設定!$H31))</f>
        <v>120.9</v>
      </c>
      <c r="G17" s="52">
        <f>IF($D17="","",IF([19]設定!$H31="",INDEX([19]第３表!$F$80:$Q$136,MATCH([19]設定!$D31,[19]第３表!$C$80:$C$136,0),3),[19]設定!$H31))</f>
        <v>118.7</v>
      </c>
      <c r="H17" s="52">
        <f>IF($D17="","",IF([19]設定!$H31="",INDEX([19]第３表!$F$80:$Q$136,MATCH([19]設定!$D31,[19]第３表!$C$80:$C$136,0),4),[19]設定!$H31))</f>
        <v>2.2000000000000002</v>
      </c>
      <c r="I17" s="54">
        <f>IF($D17="","",IF([19]設定!$H31="",INDEX([19]第３表!$F$80:$Q$136,MATCH([19]設定!$D31,[19]第３表!$C$80:$C$136,0),5),[19]設定!$H31))</f>
        <v>17.399999999999999</v>
      </c>
      <c r="J17" s="54">
        <f>IF($D17="","",IF([19]設定!$H31="",INDEX([19]第３表!$F$80:$Q$136,MATCH([19]設定!$D31,[19]第３表!$C$80:$C$136,0),6),[19]設定!$H31))</f>
        <v>130.19999999999999</v>
      </c>
      <c r="K17" s="54">
        <f>IF($D17="","",IF([19]設定!$H31="",INDEX([19]第３表!$F$80:$Q$136,MATCH([19]設定!$D31,[19]第３表!$C$80:$C$136,0),7),[19]設定!$H31))</f>
        <v>126.9</v>
      </c>
      <c r="L17" s="55">
        <f>IF($D17="","",IF([19]設定!$H31="",INDEX([19]第３表!$F$80:$Q$136,MATCH([19]設定!$D31,[19]第３表!$C$80:$C$136,0),8),[19]設定!$H31))</f>
        <v>3.3</v>
      </c>
      <c r="M17" s="56">
        <f>IF($D17="","",IF([19]設定!$H31="",INDEX([19]第３表!$F$80:$Q$136,MATCH([19]設定!$D31,[19]第３表!$C$80:$C$136,0),9),[19]設定!$H31))</f>
        <v>16.8</v>
      </c>
      <c r="N17" s="56">
        <f>IF($D17="","",IF([19]設定!$H31="",INDEX([19]第３表!$F$80:$Q$136,MATCH([19]設定!$D31,[19]第３表!$C$80:$C$136,0),10),[19]設定!$H31))</f>
        <v>107.3</v>
      </c>
      <c r="O17" s="56">
        <f>IF($D17="","",IF([19]設定!$H31="",INDEX([19]第３表!$F$80:$Q$136,MATCH([19]設定!$D31,[19]第３表!$C$80:$C$136,0),11),[19]設定!$H31))</f>
        <v>106.7</v>
      </c>
      <c r="P17" s="57">
        <f>IF($D17="","",IF([19]設定!$H31="",INDEX([19]第３表!$F$80:$Q$136,MATCH([19]設定!$D31,[19]第３表!$C$80:$C$136,0),12),[19]設定!$H31))</f>
        <v>0.6</v>
      </c>
    </row>
    <row r="18" spans="2:16" s="8" customFormat="1" ht="17.25" customHeight="1" x14ac:dyDescent="0.45">
      <c r="B18" s="49" t="str">
        <f>+[20]第５表!B18</f>
        <v>L</v>
      </c>
      <c r="C18" s="50"/>
      <c r="D18" s="59" t="str">
        <f>+[20]第５表!D18</f>
        <v>学術研究，専門・技術サービス業</v>
      </c>
      <c r="E18" s="52">
        <f>IF($D18="","",IF([19]設定!$H32="",INDEX([19]第３表!$F$80:$Q$136,MATCH([19]設定!$D32,[19]第３表!$C$80:$C$136,0),1),[19]設定!$H32))</f>
        <v>19.899999999999999</v>
      </c>
      <c r="F18" s="52">
        <f>IF($D18="","",IF([19]設定!$H32="",INDEX([19]第３表!$F$80:$Q$136,MATCH([19]設定!$D32,[19]第３表!$C$80:$C$136,0),2),[19]設定!$H32))</f>
        <v>156.1</v>
      </c>
      <c r="G18" s="52">
        <f>IF($D18="","",IF([19]設定!$H32="",INDEX([19]第３表!$F$80:$Q$136,MATCH([19]設定!$D32,[19]第３表!$C$80:$C$136,0),3),[19]設定!$H32))</f>
        <v>147.80000000000001</v>
      </c>
      <c r="H18" s="53">
        <f>IF($D18="","",IF([19]設定!$H32="",INDEX([19]第３表!$F$80:$Q$136,MATCH([19]設定!$D32,[19]第３表!$C$80:$C$136,0),4),[19]設定!$H32))</f>
        <v>8.3000000000000007</v>
      </c>
      <c r="I18" s="54">
        <f>IF($D18="","",IF([19]設定!$H32="",INDEX([19]第３表!$F$80:$Q$136,MATCH([19]設定!$D32,[19]第３表!$C$80:$C$136,0),5),[19]設定!$H32))</f>
        <v>20</v>
      </c>
      <c r="J18" s="54">
        <f>IF($D18="","",IF([19]設定!$H32="",INDEX([19]第３表!$F$80:$Q$136,MATCH([19]設定!$D32,[19]第３表!$C$80:$C$136,0),6),[19]設定!$H32))</f>
        <v>164.6</v>
      </c>
      <c r="K18" s="54">
        <f>IF($D18="","",IF([19]設定!$H32="",INDEX([19]第３表!$F$80:$Q$136,MATCH([19]設定!$D32,[19]第３表!$C$80:$C$136,0),7),[19]設定!$H32))</f>
        <v>156</v>
      </c>
      <c r="L18" s="55">
        <f>IF($D18="","",IF([19]設定!$H32="",INDEX([19]第３表!$F$80:$Q$136,MATCH([19]設定!$D32,[19]第３表!$C$80:$C$136,0),8),[19]設定!$H32))</f>
        <v>8.6</v>
      </c>
      <c r="M18" s="56">
        <f>IF($D18="","",IF([19]設定!$H32="",INDEX([19]第３表!$F$80:$Q$136,MATCH([19]設定!$D32,[19]第３表!$C$80:$C$136,0),9),[19]設定!$H32))</f>
        <v>19.7</v>
      </c>
      <c r="N18" s="56">
        <f>IF($D18="","",IF([19]設定!$H32="",INDEX([19]第３表!$F$80:$Q$136,MATCH([19]設定!$D32,[19]第３表!$C$80:$C$136,0),10),[19]設定!$H32))</f>
        <v>142.1</v>
      </c>
      <c r="O18" s="56">
        <f>IF($D18="","",IF([19]設定!$H32="",INDEX([19]第３表!$F$80:$Q$136,MATCH([19]設定!$D32,[19]第３表!$C$80:$C$136,0),11),[19]設定!$H32))</f>
        <v>134.4</v>
      </c>
      <c r="P18" s="57">
        <f>IF($D18="","",IF([19]設定!$H32="",INDEX([19]第３表!$F$80:$Q$136,MATCH([19]設定!$D32,[19]第３表!$C$80:$C$136,0),12),[19]設定!$H32))</f>
        <v>7.7</v>
      </c>
    </row>
    <row r="19" spans="2:16" s="8" customFormat="1" ht="17.25" customHeight="1" x14ac:dyDescent="0.45">
      <c r="B19" s="49" t="str">
        <f>+[20]第５表!B19</f>
        <v>M</v>
      </c>
      <c r="C19" s="50"/>
      <c r="D19" s="60" t="str">
        <f>+[20]第５表!D19</f>
        <v>宿泊業，飲食サービス業</v>
      </c>
      <c r="E19" s="52">
        <f>IF($D19="","",IF([19]設定!$H33="",INDEX([19]第３表!$F$80:$Q$136,MATCH([19]設定!$D33,[19]第３表!$C$80:$C$136,0),1),[19]設定!$H33))</f>
        <v>14</v>
      </c>
      <c r="F19" s="52">
        <f>IF($D19="","",IF([19]設定!$H33="",INDEX([19]第３表!$F$80:$Q$136,MATCH([19]設定!$D33,[19]第３表!$C$80:$C$136,0),2),[19]設定!$H33))</f>
        <v>81.900000000000006</v>
      </c>
      <c r="G19" s="52">
        <f>IF($D19="","",IF([19]設定!$H33="",INDEX([19]第３表!$F$80:$Q$136,MATCH([19]設定!$D33,[19]第３表!$C$80:$C$136,0),3),[19]設定!$H33))</f>
        <v>78.400000000000006</v>
      </c>
      <c r="H19" s="53">
        <f>IF($D19="","",IF([19]設定!$H33="",INDEX([19]第３表!$F$80:$Q$136,MATCH([19]設定!$D33,[19]第３表!$C$80:$C$136,0),4),[19]設定!$H33))</f>
        <v>3.5</v>
      </c>
      <c r="I19" s="54">
        <f>IF($D19="","",IF([19]設定!$H33="",INDEX([19]第３表!$F$80:$Q$136,MATCH([19]設定!$D33,[19]第３表!$C$80:$C$136,0),5),[19]設定!$H33))</f>
        <v>16.3</v>
      </c>
      <c r="J19" s="54">
        <f>IF($D19="","",IF([19]設定!$H33="",INDEX([19]第３表!$F$80:$Q$136,MATCH([19]設定!$D33,[19]第３表!$C$80:$C$136,0),6),[19]設定!$H33))</f>
        <v>103</v>
      </c>
      <c r="K19" s="54">
        <f>IF($D19="","",IF([19]設定!$H33="",INDEX([19]第３表!$F$80:$Q$136,MATCH([19]設定!$D33,[19]第３表!$C$80:$C$136,0),7),[19]設定!$H33))</f>
        <v>95.6</v>
      </c>
      <c r="L19" s="55">
        <f>IF($D19="","",IF([19]設定!$H33="",INDEX([19]第３表!$F$80:$Q$136,MATCH([19]設定!$D33,[19]第３表!$C$80:$C$136,0),8),[19]設定!$H33))</f>
        <v>7.4</v>
      </c>
      <c r="M19" s="56">
        <f>IF($D19="","",IF([19]設定!$H33="",INDEX([19]第３表!$F$80:$Q$136,MATCH([19]設定!$D33,[19]第３表!$C$80:$C$136,0),9),[19]設定!$H33))</f>
        <v>12.7</v>
      </c>
      <c r="N19" s="56">
        <f>IF($D19="","",IF([19]設定!$H33="",INDEX([19]第３表!$F$80:$Q$136,MATCH([19]設定!$D33,[19]第３表!$C$80:$C$136,0),10),[19]設定!$H33))</f>
        <v>70.099999999999994</v>
      </c>
      <c r="O19" s="56">
        <f>IF($D19="","",IF([19]設定!$H33="",INDEX([19]第３表!$F$80:$Q$136,MATCH([19]設定!$D33,[19]第３表!$C$80:$C$136,0),11),[19]設定!$H33))</f>
        <v>68.8</v>
      </c>
      <c r="P19" s="57">
        <f>IF($D19="","",IF([19]設定!$H33="",INDEX([19]第３表!$F$80:$Q$136,MATCH([19]設定!$D33,[19]第３表!$C$80:$C$136,0),12),[19]設定!$H33))</f>
        <v>1.3</v>
      </c>
    </row>
    <row r="20" spans="2:16" s="8" customFormat="1" ht="17.25" customHeight="1" x14ac:dyDescent="0.45">
      <c r="B20" s="49" t="str">
        <f>+[20]第５表!B20</f>
        <v>N</v>
      </c>
      <c r="C20" s="50"/>
      <c r="D20" s="61" t="str">
        <f>+[20]第５表!D20</f>
        <v>生活関連サービス業，娯楽業</v>
      </c>
      <c r="E20" s="52">
        <f>IF($D20="","",IF([19]設定!$H34="",INDEX([19]第３表!$F$80:$Q$136,MATCH([19]設定!$D34,[19]第３表!$C$80:$C$136,0),1),[19]設定!$H34))</f>
        <v>16.899999999999999</v>
      </c>
      <c r="F20" s="52">
        <f>IF($D20="","",IF([19]設定!$H34="",INDEX([19]第３表!$F$80:$Q$136,MATCH([19]設定!$D34,[19]第３表!$C$80:$C$136,0),2),[19]設定!$H34))</f>
        <v>133.1</v>
      </c>
      <c r="G20" s="52">
        <f>IF($D20="","",IF([19]設定!$H34="",INDEX([19]第３表!$F$80:$Q$136,MATCH([19]設定!$D34,[19]第３表!$C$80:$C$136,0),3),[19]設定!$H34))</f>
        <v>123.3</v>
      </c>
      <c r="H20" s="53">
        <f>IF($D20="","",IF([19]設定!$H34="",INDEX([19]第３表!$F$80:$Q$136,MATCH([19]設定!$D34,[19]第３表!$C$80:$C$136,0),4),[19]設定!$H34))</f>
        <v>9.8000000000000007</v>
      </c>
      <c r="I20" s="54">
        <f>IF($D20="","",IF([19]設定!$H34="",INDEX([19]第３表!$F$80:$Q$136,MATCH([19]設定!$D34,[19]第３表!$C$80:$C$136,0),5),[19]設定!$H34))</f>
        <v>16.899999999999999</v>
      </c>
      <c r="J20" s="54">
        <f>IF($D20="","",IF([19]設定!$H34="",INDEX([19]第３表!$F$80:$Q$136,MATCH([19]設定!$D34,[19]第３表!$C$80:$C$136,0),6),[19]設定!$H34))</f>
        <v>135.30000000000001</v>
      </c>
      <c r="K20" s="54">
        <f>IF($D20="","",IF([19]設定!$H34="",INDEX([19]第３表!$F$80:$Q$136,MATCH([19]設定!$D34,[19]第３表!$C$80:$C$136,0),7),[19]設定!$H34))</f>
        <v>125.3</v>
      </c>
      <c r="L20" s="55">
        <f>IF($D20="","",IF([19]設定!$H34="",INDEX([19]第３表!$F$80:$Q$136,MATCH([19]設定!$D34,[19]第３表!$C$80:$C$136,0),8),[19]設定!$H34))</f>
        <v>10</v>
      </c>
      <c r="M20" s="56">
        <f>IF($D20="","",IF([19]設定!$H34="",INDEX([19]第３表!$F$80:$Q$136,MATCH([19]設定!$D34,[19]第３表!$C$80:$C$136,0),9),[19]設定!$H34))</f>
        <v>16.899999999999999</v>
      </c>
      <c r="N20" s="56">
        <f>IF($D20="","",IF([19]設定!$H34="",INDEX([19]第３表!$F$80:$Q$136,MATCH([19]設定!$D34,[19]第３表!$C$80:$C$136,0),10),[19]設定!$H34))</f>
        <v>129.9</v>
      </c>
      <c r="O20" s="56">
        <f>IF($D20="","",IF([19]設定!$H34="",INDEX([19]第３表!$F$80:$Q$136,MATCH([19]設定!$D34,[19]第３表!$C$80:$C$136,0),11),[19]設定!$H34))</f>
        <v>120.3</v>
      </c>
      <c r="P20" s="57">
        <f>IF($D20="","",IF([19]設定!$H34="",INDEX([19]第３表!$F$80:$Q$136,MATCH([19]設定!$D34,[19]第３表!$C$80:$C$136,0),12),[19]設定!$H34))</f>
        <v>9.6</v>
      </c>
    </row>
    <row r="21" spans="2:16" s="8" customFormat="1" ht="17.25" customHeight="1" x14ac:dyDescent="0.45">
      <c r="B21" s="49" t="str">
        <f>+[20]第５表!B21</f>
        <v>O</v>
      </c>
      <c r="C21" s="50"/>
      <c r="D21" s="51" t="str">
        <f>+[20]第５表!D21</f>
        <v>教育，学習支援業</v>
      </c>
      <c r="E21" s="52">
        <f>IF($D21="","",IF([19]設定!$H35="",INDEX([19]第３表!$F$80:$Q$136,MATCH([19]設定!$D35,[19]第３表!$C$80:$C$136,0),1),[19]設定!$H35))</f>
        <v>18.3</v>
      </c>
      <c r="F21" s="52">
        <f>IF($D21="","",IF([19]設定!$H35="",INDEX([19]第３表!$F$80:$Q$136,MATCH([19]設定!$D35,[19]第３表!$C$80:$C$136,0),2),[19]設定!$H35))</f>
        <v>154</v>
      </c>
      <c r="G21" s="52">
        <f>IF($D21="","",IF([19]設定!$H35="",INDEX([19]第３表!$F$80:$Q$136,MATCH([19]設定!$D35,[19]第３表!$C$80:$C$136,0),3),[19]設定!$H35))</f>
        <v>131.69999999999999</v>
      </c>
      <c r="H21" s="53">
        <f>IF($D21="","",IF([19]設定!$H35="",INDEX([19]第３表!$F$80:$Q$136,MATCH([19]設定!$D35,[19]第３表!$C$80:$C$136,0),4),[19]設定!$H35))</f>
        <v>22.3</v>
      </c>
      <c r="I21" s="54">
        <f>IF($D21="","",IF([19]設定!$H35="",INDEX([19]第３表!$F$80:$Q$136,MATCH([19]設定!$D35,[19]第３表!$C$80:$C$136,0),5),[19]設定!$H35))</f>
        <v>18.7</v>
      </c>
      <c r="J21" s="54">
        <f>IF($D21="","",IF([19]設定!$H35="",INDEX([19]第３表!$F$80:$Q$136,MATCH([19]設定!$D35,[19]第３表!$C$80:$C$136,0),6),[19]設定!$H35))</f>
        <v>168.2</v>
      </c>
      <c r="K21" s="54">
        <f>IF($D21="","",IF([19]設定!$H35="",INDEX([19]第３表!$F$80:$Q$136,MATCH([19]設定!$D35,[19]第３表!$C$80:$C$136,0),7),[19]設定!$H35))</f>
        <v>137.30000000000001</v>
      </c>
      <c r="L21" s="55">
        <f>IF($D21="","",IF([19]設定!$H35="",INDEX([19]第３表!$F$80:$Q$136,MATCH([19]設定!$D35,[19]第３表!$C$80:$C$136,0),8),[19]設定!$H35))</f>
        <v>30.9</v>
      </c>
      <c r="M21" s="56">
        <f>IF($D21="","",IF([19]設定!$H35="",INDEX([19]第３表!$F$80:$Q$136,MATCH([19]設定!$D35,[19]第３表!$C$80:$C$136,0),9),[19]設定!$H35))</f>
        <v>18</v>
      </c>
      <c r="N21" s="56">
        <f>IF($D21="","",IF([19]設定!$H35="",INDEX([19]第３表!$F$80:$Q$136,MATCH([19]設定!$D35,[19]第３表!$C$80:$C$136,0),10),[19]設定!$H35))</f>
        <v>143.1</v>
      </c>
      <c r="O21" s="56">
        <f>IF($D21="","",IF([19]設定!$H35="",INDEX([19]第３表!$F$80:$Q$136,MATCH([19]設定!$D35,[19]第３表!$C$80:$C$136,0),11),[19]設定!$H35))</f>
        <v>127.4</v>
      </c>
      <c r="P21" s="57">
        <f>IF($D21="","",IF([19]設定!$H35="",INDEX([19]第３表!$F$80:$Q$136,MATCH([19]設定!$D35,[19]第３表!$C$80:$C$136,0),12),[19]設定!$H35))</f>
        <v>15.7</v>
      </c>
    </row>
    <row r="22" spans="2:16" s="8" customFormat="1" ht="17.25" customHeight="1" x14ac:dyDescent="0.45">
      <c r="B22" s="49" t="str">
        <f>+[20]第５表!B22</f>
        <v>P</v>
      </c>
      <c r="C22" s="50"/>
      <c r="D22" s="51" t="str">
        <f>+[20]第５表!D22</f>
        <v>医療，福祉</v>
      </c>
      <c r="E22" s="52">
        <f>IF($D22="","",IF([19]設定!$H36="",INDEX([19]第３表!$F$80:$Q$136,MATCH([19]設定!$D36,[19]第３表!$C$80:$C$136,0),1),[19]設定!$H36))</f>
        <v>19</v>
      </c>
      <c r="F22" s="52">
        <f>IF($D22="","",IF([19]設定!$H36="",INDEX([19]第３表!$F$80:$Q$136,MATCH([19]設定!$D36,[19]第３表!$C$80:$C$136,0),2),[19]設定!$H36))</f>
        <v>138.5</v>
      </c>
      <c r="G22" s="52">
        <f>IF($D22="","",IF([19]設定!$H36="",INDEX([19]第３表!$F$80:$Q$136,MATCH([19]設定!$D36,[19]第３表!$C$80:$C$136,0),3),[19]設定!$H36))</f>
        <v>134.4</v>
      </c>
      <c r="H22" s="53">
        <f>IF($D22="","",IF([19]設定!$H36="",INDEX([19]第３表!$F$80:$Q$136,MATCH([19]設定!$D36,[19]第３表!$C$80:$C$136,0),4),[19]設定!$H36))</f>
        <v>4.0999999999999996</v>
      </c>
      <c r="I22" s="54">
        <f>IF($D22="","",IF([19]設定!$H36="",INDEX([19]第３表!$F$80:$Q$136,MATCH([19]設定!$D36,[19]第３表!$C$80:$C$136,0),5),[19]設定!$H36))</f>
        <v>19.600000000000001</v>
      </c>
      <c r="J22" s="54">
        <f>IF($D22="","",IF([19]設定!$H36="",INDEX([19]第３表!$F$80:$Q$136,MATCH([19]設定!$D36,[19]第３表!$C$80:$C$136,0),6),[19]設定!$H36))</f>
        <v>149.80000000000001</v>
      </c>
      <c r="K22" s="54">
        <f>IF($D22="","",IF([19]設定!$H36="",INDEX([19]第３表!$F$80:$Q$136,MATCH([19]設定!$D36,[19]第３表!$C$80:$C$136,0),7),[19]設定!$H36))</f>
        <v>146.1</v>
      </c>
      <c r="L22" s="55">
        <f>IF($D22="","",IF([19]設定!$H36="",INDEX([19]第３表!$F$80:$Q$136,MATCH([19]設定!$D36,[19]第３表!$C$80:$C$136,0),8),[19]設定!$H36))</f>
        <v>3.7</v>
      </c>
      <c r="M22" s="56">
        <f>IF($D22="","",IF([19]設定!$H36="",INDEX([19]第３表!$F$80:$Q$136,MATCH([19]設定!$D36,[19]第３表!$C$80:$C$136,0),9),[19]設定!$H36))</f>
        <v>18.8</v>
      </c>
      <c r="N22" s="56">
        <f>IF($D22="","",IF([19]設定!$H36="",INDEX([19]第３表!$F$80:$Q$136,MATCH([19]設定!$D36,[19]第３表!$C$80:$C$136,0),10),[19]設定!$H36))</f>
        <v>134.69999999999999</v>
      </c>
      <c r="O22" s="56">
        <f>IF($D22="","",IF([19]設定!$H36="",INDEX([19]第３表!$F$80:$Q$136,MATCH([19]設定!$D36,[19]第３表!$C$80:$C$136,0),11),[19]設定!$H36))</f>
        <v>130.5</v>
      </c>
      <c r="P22" s="57">
        <f>IF($D22="","",IF([19]設定!$H36="",INDEX([19]第３表!$F$80:$Q$136,MATCH([19]設定!$D36,[19]第３表!$C$80:$C$136,0),12),[19]設定!$H36))</f>
        <v>4.2</v>
      </c>
    </row>
    <row r="23" spans="2:16" s="8" customFormat="1" ht="17.25" customHeight="1" x14ac:dyDescent="0.45">
      <c r="B23" s="49" t="str">
        <f>+[20]第５表!B23</f>
        <v>Q</v>
      </c>
      <c r="C23" s="50"/>
      <c r="D23" s="51" t="str">
        <f>+[20]第５表!D23</f>
        <v>複合サービス事業</v>
      </c>
      <c r="E23" s="52">
        <f>IF($D23="","",IF([19]設定!$H37="",INDEX([19]第３表!$F$80:$Q$136,MATCH([19]設定!$D37,[19]第３表!$C$80:$C$136,0),1),[19]設定!$H37))</f>
        <v>19.3</v>
      </c>
      <c r="F23" s="52">
        <f>IF($D23="","",IF([19]設定!$H37="",INDEX([19]第３表!$F$80:$Q$136,MATCH([19]設定!$D37,[19]第３表!$C$80:$C$136,0),2),[19]設定!$H37))</f>
        <v>152.6</v>
      </c>
      <c r="G23" s="52">
        <f>IF($D23="","",IF([19]設定!$H37="",INDEX([19]第３表!$F$80:$Q$136,MATCH([19]設定!$D37,[19]第３表!$C$80:$C$136,0),3),[19]設定!$H37))</f>
        <v>149</v>
      </c>
      <c r="H23" s="53">
        <f>IF($D23="","",IF([19]設定!$H37="",INDEX([19]第３表!$F$80:$Q$136,MATCH([19]設定!$D37,[19]第３表!$C$80:$C$136,0),4),[19]設定!$H37))</f>
        <v>3.6</v>
      </c>
      <c r="I23" s="54">
        <f>IF($D23="","",IF([19]設定!$H37="",INDEX([19]第３表!$F$80:$Q$136,MATCH([19]設定!$D37,[19]第３表!$C$80:$C$136,0),5),[19]設定!$H37))</f>
        <v>19.5</v>
      </c>
      <c r="J23" s="54">
        <f>IF($D23="","",IF([19]設定!$H37="",INDEX([19]第３表!$F$80:$Q$136,MATCH([19]設定!$D37,[19]第３表!$C$80:$C$136,0),6),[19]設定!$H37))</f>
        <v>157.1</v>
      </c>
      <c r="K23" s="54">
        <f>IF($D23="","",IF([19]設定!$H37="",INDEX([19]第３表!$F$80:$Q$136,MATCH([19]設定!$D37,[19]第３表!$C$80:$C$136,0),7),[19]設定!$H37))</f>
        <v>152.6</v>
      </c>
      <c r="L23" s="55">
        <f>IF($D23="","",IF([19]設定!$H37="",INDEX([19]第３表!$F$80:$Q$136,MATCH([19]設定!$D37,[19]第３表!$C$80:$C$136,0),8),[19]設定!$H37))</f>
        <v>4.5</v>
      </c>
      <c r="M23" s="56">
        <f>IF($D23="","",IF([19]設定!$H37="",INDEX([19]第３表!$F$80:$Q$136,MATCH([19]設定!$D37,[19]第３表!$C$80:$C$136,0),9),[19]設定!$H37))</f>
        <v>19</v>
      </c>
      <c r="N23" s="56">
        <f>IF($D23="","",IF([19]設定!$H37="",INDEX([19]第３表!$F$80:$Q$136,MATCH([19]設定!$D37,[19]第３表!$C$80:$C$136,0),10),[19]設定!$H37))</f>
        <v>144.6</v>
      </c>
      <c r="O23" s="56">
        <f>IF($D23="","",IF([19]設定!$H37="",INDEX([19]第３表!$F$80:$Q$136,MATCH([19]設定!$D37,[19]第３表!$C$80:$C$136,0),11),[19]設定!$H37))</f>
        <v>142.6</v>
      </c>
      <c r="P23" s="57">
        <f>IF($D23="","",IF([19]設定!$H37="",INDEX([19]第３表!$F$80:$Q$136,MATCH([19]設定!$D37,[19]第３表!$C$80:$C$136,0),12),[19]設定!$H37))</f>
        <v>2</v>
      </c>
    </row>
    <row r="24" spans="2:16" s="8" customFormat="1" ht="17.25" customHeight="1" x14ac:dyDescent="0.45">
      <c r="B24" s="49" t="str">
        <f>+[20]第５表!B24</f>
        <v>R</v>
      </c>
      <c r="C24" s="50"/>
      <c r="D24" s="62" t="str">
        <f>+[20]第５表!D24</f>
        <v>サービス業（他に分類されないもの）</v>
      </c>
      <c r="E24" s="52">
        <f>IF($D24="","",IF([19]設定!$H38="",INDEX([19]第３表!$F$80:$Q$136,MATCH([19]設定!$D38,[19]第３表!$C$80:$C$136,0),1),[19]設定!$H38))</f>
        <v>19</v>
      </c>
      <c r="F24" s="52">
        <f>IF($D24="","",IF([19]設定!$H38="",INDEX([19]第３表!$F$80:$Q$136,MATCH([19]設定!$D38,[19]第３表!$C$80:$C$136,0),2),[19]設定!$H38))</f>
        <v>145</v>
      </c>
      <c r="G24" s="52">
        <f>IF($D24="","",IF([19]設定!$H38="",INDEX([19]第３表!$F$80:$Q$136,MATCH([19]設定!$D38,[19]第３表!$C$80:$C$136,0),3),[19]設定!$H38))</f>
        <v>136.1</v>
      </c>
      <c r="H24" s="53">
        <f>IF($D24="","",IF([19]設定!$H38="",INDEX([19]第３表!$F$80:$Q$136,MATCH([19]設定!$D38,[19]第３表!$C$80:$C$136,0),4),[19]設定!$H38))</f>
        <v>8.9</v>
      </c>
      <c r="I24" s="54">
        <f>IF($D24="","",IF([19]設定!$H38="",INDEX([19]第３表!$F$80:$Q$136,MATCH([19]設定!$D38,[19]第３表!$C$80:$C$136,0),5),[19]設定!$H38))</f>
        <v>19.3</v>
      </c>
      <c r="J24" s="54">
        <f>IF($D24="","",IF([19]設定!$H38="",INDEX([19]第３表!$F$80:$Q$136,MATCH([19]設定!$D38,[19]第３表!$C$80:$C$136,0),6),[19]設定!$H38))</f>
        <v>157.4</v>
      </c>
      <c r="K24" s="54">
        <f>IF($D24="","",IF([19]設定!$H38="",INDEX([19]第３表!$F$80:$Q$136,MATCH([19]設定!$D38,[19]第３表!$C$80:$C$136,0),7),[19]設定!$H38))</f>
        <v>144.80000000000001</v>
      </c>
      <c r="L24" s="55">
        <f>IF($D24="","",IF([19]設定!$H38="",INDEX([19]第３表!$F$80:$Q$136,MATCH([19]設定!$D38,[19]第３表!$C$80:$C$136,0),8),[19]設定!$H38))</f>
        <v>12.6</v>
      </c>
      <c r="M24" s="56">
        <f>IF($D24="","",IF([19]設定!$H38="",INDEX([19]第３表!$F$80:$Q$136,MATCH([19]設定!$D38,[19]第３表!$C$80:$C$136,0),9),[19]設定!$H38))</f>
        <v>18.7</v>
      </c>
      <c r="N24" s="56">
        <f>IF($D24="","",IF([19]設定!$H38="",INDEX([19]第３表!$F$80:$Q$136,MATCH([19]設定!$D38,[19]第３表!$C$80:$C$136,0),10),[19]設定!$H38))</f>
        <v>129.9</v>
      </c>
      <c r="O24" s="56">
        <f>IF($D24="","",IF([19]設定!$H38="",INDEX([19]第３表!$F$80:$Q$136,MATCH([19]設定!$D38,[19]第３表!$C$80:$C$136,0),11),[19]設定!$H38))</f>
        <v>125.6</v>
      </c>
      <c r="P24" s="57">
        <f>IF($D24="","",IF([19]設定!$H38="",INDEX([19]第３表!$F$80:$Q$136,MATCH([19]設定!$D38,[19]第３表!$C$80:$C$136,0),12),[19]設定!$H38))</f>
        <v>4.3</v>
      </c>
    </row>
    <row r="25" spans="2:16" s="8" customFormat="1" ht="17.25" customHeight="1" x14ac:dyDescent="0.45">
      <c r="B25" s="45" t="str">
        <f>+[20]第５表!B25</f>
        <v>E09,10</v>
      </c>
      <c r="C25" s="46"/>
      <c r="D25" s="63" t="str">
        <f>+[20]第５表!D25</f>
        <v>食料品・たばこ</v>
      </c>
      <c r="E25" s="48">
        <f>IF($D25="","",IF([19]設定!$H39="",INDEX([19]第３表!$F$80:$Q$136,MATCH([19]設定!$D39,[19]第３表!$C$80:$C$136,0),1),[19]設定!$H39))</f>
        <v>18.7</v>
      </c>
      <c r="F25" s="48">
        <f>IF($D25="","",IF([19]設定!$H39="",INDEX([19]第３表!$F$80:$Q$136,MATCH([19]設定!$D39,[19]第３表!$C$80:$C$136,0),2),[19]設定!$H39))</f>
        <v>144.19999999999999</v>
      </c>
      <c r="G25" s="48">
        <f>IF($D25="","",IF([19]設定!$H39="",INDEX([19]第３表!$F$80:$Q$136,MATCH([19]設定!$D39,[19]第３表!$C$80:$C$136,0),3),[19]設定!$H39))</f>
        <v>135.30000000000001</v>
      </c>
      <c r="H25" s="64">
        <f>IF($D25="","",IF([19]設定!$H39="",INDEX([19]第３表!$F$80:$Q$136,MATCH([19]設定!$D39,[19]第３表!$C$80:$C$136,0),4),[19]設定!$H39))</f>
        <v>8.9</v>
      </c>
      <c r="I25" s="48">
        <f>IF($D25="","",IF([19]設定!$H39="",INDEX([19]第３表!$F$80:$Q$136,MATCH([19]設定!$D39,[19]第３表!$C$80:$C$136,0),5),[19]設定!$H39))</f>
        <v>19.5</v>
      </c>
      <c r="J25" s="48">
        <f>IF($D25="","",IF([19]設定!$H39="",INDEX([19]第３表!$F$80:$Q$136,MATCH([19]設定!$D39,[19]第３表!$C$80:$C$136,0),6),[19]設定!$H39))</f>
        <v>160.6</v>
      </c>
      <c r="K25" s="48">
        <f>IF($D25="","",IF([19]設定!$H39="",INDEX([19]第３表!$F$80:$Q$136,MATCH([19]設定!$D39,[19]第３表!$C$80:$C$136,0),7),[19]設定!$H39))</f>
        <v>148.30000000000001</v>
      </c>
      <c r="L25" s="64">
        <f>IF($D25="","",IF([19]設定!$H39="",INDEX([19]第３表!$F$80:$Q$136,MATCH([19]設定!$D39,[19]第３表!$C$80:$C$136,0),8),[19]設定!$H39))</f>
        <v>12.3</v>
      </c>
      <c r="M25" s="48">
        <f>IF($D25="","",IF([19]設定!$H39="",INDEX([19]第３表!$F$80:$Q$136,MATCH([19]設定!$D39,[19]第３表!$C$80:$C$136,0),9),[19]設定!$H39))</f>
        <v>18.100000000000001</v>
      </c>
      <c r="N25" s="48">
        <f>IF($D25="","",IF([19]設定!$H39="",INDEX([19]第３表!$F$80:$Q$136,MATCH([19]設定!$D39,[19]第３表!$C$80:$C$136,0),10),[19]設定!$H39))</f>
        <v>133.5</v>
      </c>
      <c r="O25" s="48">
        <f>IF($D25="","",IF([19]設定!$H39="",INDEX([19]第３表!$F$80:$Q$136,MATCH([19]設定!$D39,[19]第３表!$C$80:$C$136,0),11),[19]設定!$H39))</f>
        <v>126.8</v>
      </c>
      <c r="P25" s="64">
        <f>IF($D25="","",IF([19]設定!$H39="",INDEX([19]第３表!$F$80:$Q$136,MATCH([19]設定!$D39,[19]第３表!$C$80:$C$136,0),12),[19]設定!$H39))</f>
        <v>6.7</v>
      </c>
    </row>
    <row r="26" spans="2:16" s="8" customFormat="1" ht="17.25" customHeight="1" x14ac:dyDescent="0.45">
      <c r="B26" s="49" t="str">
        <f>+[20]第５表!B26</f>
        <v>E11</v>
      </c>
      <c r="C26" s="50"/>
      <c r="D26" s="65" t="str">
        <f>+[20]第５表!D26</f>
        <v>繊維工業</v>
      </c>
      <c r="E26" s="52">
        <f>IF($D26="","",IF([19]設定!$H40="",INDEX([19]第３表!$F$80:$Q$136,MATCH([19]設定!$D40,[19]第３表!$C$80:$C$136,0),1),[19]設定!$H40))</f>
        <v>20.2</v>
      </c>
      <c r="F26" s="52">
        <f>IF($D26="","",IF([19]設定!$H40="",INDEX([19]第３表!$F$80:$Q$136,MATCH([19]設定!$D40,[19]第３表!$C$80:$C$136,0),2),[19]設定!$H40))</f>
        <v>159.4</v>
      </c>
      <c r="G26" s="52">
        <f>IF($D26="","",IF([19]設定!$H40="",INDEX([19]第３表!$F$80:$Q$136,MATCH([19]設定!$D40,[19]第３表!$C$80:$C$136,0),3),[19]設定!$H40))</f>
        <v>148.69999999999999</v>
      </c>
      <c r="H26" s="55">
        <f>IF($D26="","",IF([19]設定!$H40="",INDEX([19]第３表!$F$80:$Q$136,MATCH([19]設定!$D40,[19]第３表!$C$80:$C$136,0),4),[19]設定!$H40))</f>
        <v>10.7</v>
      </c>
      <c r="I26" s="52">
        <f>IF($D26="","",IF([19]設定!$H40="",INDEX([19]第３表!$F$80:$Q$136,MATCH([19]設定!$D40,[19]第３表!$C$80:$C$136,0),5),[19]設定!$H40))</f>
        <v>19.399999999999999</v>
      </c>
      <c r="J26" s="52">
        <f>IF($D26="","",IF([19]設定!$H40="",INDEX([19]第３表!$F$80:$Q$136,MATCH([19]設定!$D40,[19]第３表!$C$80:$C$136,0),6),[19]設定!$H40))</f>
        <v>158.30000000000001</v>
      </c>
      <c r="K26" s="52">
        <f>IF($D26="","",IF([19]設定!$H40="",INDEX([19]第３表!$F$80:$Q$136,MATCH([19]設定!$D40,[19]第３表!$C$80:$C$136,0),7),[19]設定!$H40))</f>
        <v>144.30000000000001</v>
      </c>
      <c r="L26" s="55">
        <f>IF($D26="","",IF([19]設定!$H40="",INDEX([19]第３表!$F$80:$Q$136,MATCH([19]設定!$D40,[19]第３表!$C$80:$C$136,0),8),[19]設定!$H40))</f>
        <v>14</v>
      </c>
      <c r="M26" s="52">
        <f>IF($D26="","",IF([19]設定!$H40="",INDEX([19]第３表!$F$80:$Q$136,MATCH([19]設定!$D40,[19]第３表!$C$80:$C$136,0),9),[19]設定!$H40))</f>
        <v>20.6</v>
      </c>
      <c r="N26" s="52">
        <f>IF($D26="","",IF([19]設定!$H40="",INDEX([19]第３表!$F$80:$Q$136,MATCH([19]設定!$D40,[19]第３表!$C$80:$C$136,0),10),[19]設定!$H40))</f>
        <v>159.9</v>
      </c>
      <c r="O26" s="52">
        <f>IF($D26="","",IF([19]設定!$H40="",INDEX([19]第３表!$F$80:$Q$136,MATCH([19]設定!$D40,[19]第３表!$C$80:$C$136,0),11),[19]設定!$H40))</f>
        <v>151.1</v>
      </c>
      <c r="P26" s="55">
        <f>IF($D26="","",IF([19]設定!$H40="",INDEX([19]第３表!$F$80:$Q$136,MATCH([19]設定!$D40,[19]第３表!$C$80:$C$136,0),12),[19]設定!$H40))</f>
        <v>8.8000000000000007</v>
      </c>
    </row>
    <row r="27" spans="2:16" s="8" customFormat="1" ht="17.25" customHeight="1" x14ac:dyDescent="0.45">
      <c r="B27" s="49" t="str">
        <f>+[20]第５表!B27</f>
        <v>E12</v>
      </c>
      <c r="C27" s="50"/>
      <c r="D27" s="65" t="str">
        <f>+[20]第５表!D27</f>
        <v>木材・木製品</v>
      </c>
      <c r="E27" s="52">
        <f>IF($D27="","",IF([19]設定!$H41="",INDEX([19]第３表!$F$80:$Q$136,MATCH([19]設定!$D41,[19]第３表!$C$80:$C$136,0),1),[19]設定!$H41))</f>
        <v>19</v>
      </c>
      <c r="F27" s="52">
        <f>IF($D27="","",IF([19]設定!$H41="",INDEX([19]第３表!$F$80:$Q$136,MATCH([19]設定!$D41,[19]第３表!$C$80:$C$136,0),2),[19]設定!$H41))</f>
        <v>152.9</v>
      </c>
      <c r="G27" s="52">
        <f>IF($D27="","",IF([19]設定!$H41="",INDEX([19]第３表!$F$80:$Q$136,MATCH([19]設定!$D41,[19]第３表!$C$80:$C$136,0),3),[19]設定!$H41))</f>
        <v>143.4</v>
      </c>
      <c r="H27" s="55">
        <f>IF($D27="","",IF([19]設定!$H41="",INDEX([19]第３表!$F$80:$Q$136,MATCH([19]設定!$D41,[19]第３表!$C$80:$C$136,0),4),[19]設定!$H41))</f>
        <v>9.5</v>
      </c>
      <c r="I27" s="52">
        <f>IF($D27="","",IF([19]設定!$H41="",INDEX([19]第３表!$F$80:$Q$136,MATCH([19]設定!$D41,[19]第３表!$C$80:$C$136,0),5),[19]設定!$H41))</f>
        <v>18.899999999999999</v>
      </c>
      <c r="J27" s="52">
        <f>IF($D27="","",IF([19]設定!$H41="",INDEX([19]第３表!$F$80:$Q$136,MATCH([19]設定!$D41,[19]第３表!$C$80:$C$136,0),6),[19]設定!$H41))</f>
        <v>157.30000000000001</v>
      </c>
      <c r="K27" s="52">
        <f>IF($D27="","",IF([19]設定!$H41="",INDEX([19]第３表!$F$80:$Q$136,MATCH([19]設定!$D41,[19]第３表!$C$80:$C$136,0),7),[19]設定!$H41))</f>
        <v>146.1</v>
      </c>
      <c r="L27" s="55">
        <f>IF($D27="","",IF([19]設定!$H41="",INDEX([19]第３表!$F$80:$Q$136,MATCH([19]設定!$D41,[19]第３表!$C$80:$C$136,0),8),[19]設定!$H41))</f>
        <v>11.2</v>
      </c>
      <c r="M27" s="52">
        <f>IF($D27="","",IF([19]設定!$H41="",INDEX([19]第３表!$F$80:$Q$136,MATCH([19]設定!$D41,[19]第３表!$C$80:$C$136,0),9),[19]設定!$H41))</f>
        <v>19.2</v>
      </c>
      <c r="N27" s="52">
        <f>IF($D27="","",IF([19]設定!$H41="",INDEX([19]第３表!$F$80:$Q$136,MATCH([19]設定!$D41,[19]第３表!$C$80:$C$136,0),10),[19]設定!$H41))</f>
        <v>140.69999999999999</v>
      </c>
      <c r="O27" s="52">
        <f>IF($D27="","",IF([19]設定!$H41="",INDEX([19]第３表!$F$80:$Q$136,MATCH([19]設定!$D41,[19]第３表!$C$80:$C$136,0),11),[19]設定!$H41))</f>
        <v>136</v>
      </c>
      <c r="P27" s="55">
        <f>IF($D27="","",IF([19]設定!$H41="",INDEX([19]第３表!$F$80:$Q$136,MATCH([19]設定!$D41,[19]第３表!$C$80:$C$136,0),12),[19]設定!$H41))</f>
        <v>4.7</v>
      </c>
    </row>
    <row r="28" spans="2:16" s="8" customFormat="1" ht="17.25" customHeight="1" x14ac:dyDescent="0.45">
      <c r="B28" s="49" t="str">
        <f>+[20]第５表!B28</f>
        <v>E13</v>
      </c>
      <c r="C28" s="50"/>
      <c r="D28" s="65" t="str">
        <f>+[20]第５表!D28</f>
        <v>家具・装備品</v>
      </c>
      <c r="E28" s="52" t="str">
        <f>IF($D28="","",IF([19]設定!$H42="",INDEX([19]第３表!$F$80:$Q$136,MATCH([19]設定!$D42,[19]第３表!$C$80:$C$136,0),1),[19]設定!$H42))</f>
        <v>x</v>
      </c>
      <c r="F28" s="52" t="str">
        <f>IF($D28="","",IF([19]設定!$H42="",INDEX([19]第３表!$F$80:$Q$136,MATCH([19]設定!$D42,[19]第３表!$C$80:$C$136,0),2),[19]設定!$H42))</f>
        <v>x</v>
      </c>
      <c r="G28" s="52" t="str">
        <f>IF($D28="","",IF([19]設定!$H42="",INDEX([19]第３表!$F$80:$Q$136,MATCH([19]設定!$D42,[19]第３表!$C$80:$C$136,0),3),[19]設定!$H42))</f>
        <v>x</v>
      </c>
      <c r="H28" s="55" t="str">
        <f>IF($D28="","",IF([19]設定!$H42="",INDEX([19]第３表!$F$80:$Q$136,MATCH([19]設定!$D42,[19]第３表!$C$80:$C$136,0),4),[19]設定!$H42))</f>
        <v>x</v>
      </c>
      <c r="I28" s="52" t="str">
        <f>IF($D28="","",IF([19]設定!$H42="",INDEX([19]第３表!$F$80:$Q$136,MATCH([19]設定!$D42,[19]第３表!$C$80:$C$136,0),5),[19]設定!$H42))</f>
        <v>x</v>
      </c>
      <c r="J28" s="52" t="str">
        <f>IF($D28="","",IF([19]設定!$H42="",INDEX([19]第３表!$F$80:$Q$136,MATCH([19]設定!$D42,[19]第３表!$C$80:$C$136,0),6),[19]設定!$H42))</f>
        <v>x</v>
      </c>
      <c r="K28" s="52" t="str">
        <f>IF($D28="","",IF([19]設定!$H42="",INDEX([19]第３表!$F$80:$Q$136,MATCH([19]設定!$D42,[19]第３表!$C$80:$C$136,0),7),[19]設定!$H42))</f>
        <v>x</v>
      </c>
      <c r="L28" s="55" t="str">
        <f>IF($D28="","",IF([19]設定!$H42="",INDEX([19]第３表!$F$80:$Q$136,MATCH([19]設定!$D42,[19]第３表!$C$80:$C$136,0),8),[19]設定!$H42))</f>
        <v>x</v>
      </c>
      <c r="M28" s="52" t="str">
        <f>IF($D28="","",IF([19]設定!$H42="",INDEX([19]第３表!$F$80:$Q$136,MATCH([19]設定!$D42,[19]第３表!$C$80:$C$136,0),9),[19]設定!$H42))</f>
        <v>x</v>
      </c>
      <c r="N28" s="52" t="str">
        <f>IF($D28="","",IF([19]設定!$H42="",INDEX([19]第３表!$F$80:$Q$136,MATCH([19]設定!$D42,[19]第３表!$C$80:$C$136,0),10),[19]設定!$H42))</f>
        <v>x</v>
      </c>
      <c r="O28" s="52" t="str">
        <f>IF($D28="","",IF([19]設定!$H42="",INDEX([19]第３表!$F$80:$Q$136,MATCH([19]設定!$D42,[19]第３表!$C$80:$C$136,0),11),[19]設定!$H42))</f>
        <v>x</v>
      </c>
      <c r="P28" s="55" t="str">
        <f>IF($D28="","",IF([19]設定!$H42="",INDEX([19]第３表!$F$80:$Q$136,MATCH([19]設定!$D42,[19]第３表!$C$80:$C$136,0),12),[19]設定!$H42))</f>
        <v>x</v>
      </c>
    </row>
    <row r="29" spans="2:16" s="8" customFormat="1" ht="17.25" customHeight="1" x14ac:dyDescent="0.45">
      <c r="B29" s="49" t="str">
        <f>+[20]第５表!B29</f>
        <v>E15</v>
      </c>
      <c r="C29" s="50"/>
      <c r="D29" s="65" t="str">
        <f>+[20]第５表!D29</f>
        <v>印刷・同関連業</v>
      </c>
      <c r="E29" s="52">
        <f>IF($D29="","",IF([19]設定!$H43="",INDEX([19]第３表!$F$80:$Q$136,MATCH([19]設定!$D43,[19]第３表!$C$80:$C$136,0),1),[19]設定!$H43))</f>
        <v>20.3</v>
      </c>
      <c r="F29" s="52">
        <f>IF($D29="","",IF([19]設定!$H43="",INDEX([19]第３表!$F$80:$Q$136,MATCH([19]設定!$D43,[19]第３表!$C$80:$C$136,0),2),[19]設定!$H43))</f>
        <v>153</v>
      </c>
      <c r="G29" s="52">
        <f>IF($D29="","",IF([19]設定!$H43="",INDEX([19]第３表!$F$80:$Q$136,MATCH([19]設定!$D43,[19]第３表!$C$80:$C$136,0),3),[19]設定!$H43))</f>
        <v>147.5</v>
      </c>
      <c r="H29" s="55">
        <f>IF($D29="","",IF([19]設定!$H43="",INDEX([19]第３表!$F$80:$Q$136,MATCH([19]設定!$D43,[19]第３表!$C$80:$C$136,0),4),[19]設定!$H43))</f>
        <v>5.5</v>
      </c>
      <c r="I29" s="52">
        <f>IF($D29="","",IF([19]設定!$H43="",INDEX([19]第３表!$F$80:$Q$136,MATCH([19]設定!$D43,[19]第３表!$C$80:$C$136,0),5),[19]設定!$H43))</f>
        <v>20.7</v>
      </c>
      <c r="J29" s="52">
        <f>IF($D29="","",IF([19]設定!$H43="",INDEX([19]第３表!$F$80:$Q$136,MATCH([19]設定!$D43,[19]第３表!$C$80:$C$136,0),6),[19]設定!$H43))</f>
        <v>159.30000000000001</v>
      </c>
      <c r="K29" s="52">
        <f>IF($D29="","",IF([19]設定!$H43="",INDEX([19]第３表!$F$80:$Q$136,MATCH([19]設定!$D43,[19]第３表!$C$80:$C$136,0),7),[19]設定!$H43))</f>
        <v>152.80000000000001</v>
      </c>
      <c r="L29" s="55">
        <f>IF($D29="","",IF([19]設定!$H43="",INDEX([19]第３表!$F$80:$Q$136,MATCH([19]設定!$D43,[19]第３表!$C$80:$C$136,0),8),[19]設定!$H43))</f>
        <v>6.5</v>
      </c>
      <c r="M29" s="52">
        <f>IF($D29="","",IF([19]設定!$H43="",INDEX([19]第３表!$F$80:$Q$136,MATCH([19]設定!$D43,[19]第３表!$C$80:$C$136,0),9),[19]設定!$H43))</f>
        <v>19.600000000000001</v>
      </c>
      <c r="N29" s="52">
        <f>IF($D29="","",IF([19]設定!$H43="",INDEX([19]第３表!$F$80:$Q$136,MATCH([19]設定!$D43,[19]第３表!$C$80:$C$136,0),10),[19]設定!$H43))</f>
        <v>138.80000000000001</v>
      </c>
      <c r="O29" s="52">
        <f>IF($D29="","",IF([19]設定!$H43="",INDEX([19]第３表!$F$80:$Q$136,MATCH([19]設定!$D43,[19]第３表!$C$80:$C$136,0),11),[19]設定!$H43))</f>
        <v>135.5</v>
      </c>
      <c r="P29" s="55">
        <f>IF($D29="","",IF([19]設定!$H43="",INDEX([19]第３表!$F$80:$Q$136,MATCH([19]設定!$D43,[19]第３表!$C$80:$C$136,0),12),[19]設定!$H43))</f>
        <v>3.3</v>
      </c>
    </row>
    <row r="30" spans="2:16" s="8" customFormat="1" ht="17.25" customHeight="1" x14ac:dyDescent="0.45">
      <c r="B30" s="49" t="str">
        <f>+[20]第５表!B30</f>
        <v>E16,17</v>
      </c>
      <c r="C30" s="50"/>
      <c r="D30" s="65" t="str">
        <f>+[20]第５表!D30</f>
        <v>化学、石油・石炭</v>
      </c>
      <c r="E30" s="52">
        <f>IF($D30="","",IF([19]設定!$H44="",INDEX([19]第３表!$F$80:$Q$136,MATCH([19]設定!$D44,[19]第３表!$C$80:$C$136,0),1),[19]設定!$H44))</f>
        <v>19.899999999999999</v>
      </c>
      <c r="F30" s="52">
        <f>IF($D30="","",IF([19]設定!$H44="",INDEX([19]第３表!$F$80:$Q$136,MATCH([19]設定!$D44,[19]第３表!$C$80:$C$136,0),2),[19]設定!$H44))</f>
        <v>164.4</v>
      </c>
      <c r="G30" s="52">
        <f>IF($D30="","",IF([19]設定!$H44="",INDEX([19]第３表!$F$80:$Q$136,MATCH([19]設定!$D44,[19]第３表!$C$80:$C$136,0),3),[19]設定!$H44))</f>
        <v>148.80000000000001</v>
      </c>
      <c r="H30" s="55">
        <f>IF($D30="","",IF([19]設定!$H44="",INDEX([19]第３表!$F$80:$Q$136,MATCH([19]設定!$D44,[19]第３表!$C$80:$C$136,0),4),[19]設定!$H44))</f>
        <v>15.6</v>
      </c>
      <c r="I30" s="52">
        <f>IF($D30="","",IF([19]設定!$H44="",INDEX([19]第３表!$F$80:$Q$136,MATCH([19]設定!$D44,[19]第３表!$C$80:$C$136,0),5),[19]設定!$H44))</f>
        <v>19.8</v>
      </c>
      <c r="J30" s="52">
        <f>IF($D30="","",IF([19]設定!$H44="",INDEX([19]第３表!$F$80:$Q$136,MATCH([19]設定!$D44,[19]第３表!$C$80:$C$136,0),6),[19]設定!$H44))</f>
        <v>164</v>
      </c>
      <c r="K30" s="52">
        <f>IF($D30="","",IF([19]設定!$H44="",INDEX([19]第３表!$F$80:$Q$136,MATCH([19]設定!$D44,[19]第３表!$C$80:$C$136,0),7),[19]設定!$H44))</f>
        <v>147.5</v>
      </c>
      <c r="L30" s="55">
        <f>IF($D30="","",IF([19]設定!$H44="",INDEX([19]第３表!$F$80:$Q$136,MATCH([19]設定!$D44,[19]第３表!$C$80:$C$136,0),8),[19]設定!$H44))</f>
        <v>16.5</v>
      </c>
      <c r="M30" s="52">
        <f>IF($D30="","",IF([19]設定!$H44="",INDEX([19]第３表!$F$80:$Q$136,MATCH([19]設定!$D44,[19]第３表!$C$80:$C$136,0),9),[19]設定!$H44))</f>
        <v>21.5</v>
      </c>
      <c r="N30" s="52">
        <f>IF($D30="","",IF([19]設定!$H44="",INDEX([19]第３表!$F$80:$Q$136,MATCH([19]設定!$D44,[19]第３表!$C$80:$C$136,0),10),[19]設定!$H44))</f>
        <v>169.6</v>
      </c>
      <c r="O30" s="52">
        <f>IF($D30="","",IF([19]設定!$H44="",INDEX([19]第３表!$F$80:$Q$136,MATCH([19]設定!$D44,[19]第３表!$C$80:$C$136,0),11),[19]設定!$H44))</f>
        <v>162.9</v>
      </c>
      <c r="P30" s="55">
        <f>IF($D30="","",IF([19]設定!$H44="",INDEX([19]第３表!$F$80:$Q$136,MATCH([19]設定!$D44,[19]第３表!$C$80:$C$136,0),12),[19]設定!$H44))</f>
        <v>6.7</v>
      </c>
    </row>
    <row r="31" spans="2:16" s="8" customFormat="1" ht="17.25" customHeight="1" x14ac:dyDescent="0.45">
      <c r="B31" s="49" t="str">
        <f>+[20]第５表!B31</f>
        <v>E18</v>
      </c>
      <c r="C31" s="50"/>
      <c r="D31" s="65" t="str">
        <f>+[20]第５表!D31</f>
        <v>プラスチック製品</v>
      </c>
      <c r="E31" s="52">
        <f>IF($D31="","",IF([19]設定!$H45="",INDEX([19]第３表!$F$80:$Q$136,MATCH([19]設定!$D45,[19]第３表!$C$80:$C$136,0),1),[19]設定!$H45))</f>
        <v>21.2</v>
      </c>
      <c r="F31" s="52">
        <f>IF($D31="","",IF([19]設定!$H45="",INDEX([19]第３表!$F$80:$Q$136,MATCH([19]設定!$D45,[19]第３表!$C$80:$C$136,0),2),[19]設定!$H45))</f>
        <v>162.69999999999999</v>
      </c>
      <c r="G31" s="52">
        <f>IF($D31="","",IF([19]設定!$H45="",INDEX([19]第３表!$F$80:$Q$136,MATCH([19]設定!$D45,[19]第３表!$C$80:$C$136,0),3),[19]設定!$H45))</f>
        <v>152.80000000000001</v>
      </c>
      <c r="H31" s="55">
        <f>IF($D31="","",IF([19]設定!$H45="",INDEX([19]第３表!$F$80:$Q$136,MATCH([19]設定!$D45,[19]第３表!$C$80:$C$136,0),4),[19]設定!$H45))</f>
        <v>9.9</v>
      </c>
      <c r="I31" s="52">
        <f>IF($D31="","",IF([19]設定!$H45="",INDEX([19]第３表!$F$80:$Q$136,MATCH([19]設定!$D45,[19]第３表!$C$80:$C$136,0),5),[19]設定!$H45))</f>
        <v>21.3</v>
      </c>
      <c r="J31" s="52">
        <f>IF($D31="","",IF([19]設定!$H45="",INDEX([19]第３表!$F$80:$Q$136,MATCH([19]設定!$D45,[19]第３表!$C$80:$C$136,0),6),[19]設定!$H45))</f>
        <v>172.8</v>
      </c>
      <c r="K31" s="52">
        <f>IF($D31="","",IF([19]設定!$H45="",INDEX([19]第３表!$F$80:$Q$136,MATCH([19]設定!$D45,[19]第３表!$C$80:$C$136,0),7),[19]設定!$H45))</f>
        <v>159.5</v>
      </c>
      <c r="L31" s="55">
        <f>IF($D31="","",IF([19]設定!$H45="",INDEX([19]第３表!$F$80:$Q$136,MATCH([19]設定!$D45,[19]第３表!$C$80:$C$136,0),8),[19]設定!$H45))</f>
        <v>13.3</v>
      </c>
      <c r="M31" s="52">
        <f>IF($D31="","",IF([19]設定!$H45="",INDEX([19]第３表!$F$80:$Q$136,MATCH([19]設定!$D45,[19]第３表!$C$80:$C$136,0),9),[19]設定!$H45))</f>
        <v>21</v>
      </c>
      <c r="N31" s="52">
        <f>IF($D31="","",IF([19]設定!$H45="",INDEX([19]第３表!$F$80:$Q$136,MATCH([19]設定!$D45,[19]第３表!$C$80:$C$136,0),10),[19]設定!$H45))</f>
        <v>137</v>
      </c>
      <c r="O31" s="52">
        <f>IF($D31="","",IF([19]設定!$H45="",INDEX([19]第３表!$F$80:$Q$136,MATCH([19]設定!$D45,[19]第３表!$C$80:$C$136,0),11),[19]設定!$H45))</f>
        <v>135.69999999999999</v>
      </c>
      <c r="P31" s="55">
        <f>IF($D31="","",IF([19]設定!$H45="",INDEX([19]第３表!$F$80:$Q$136,MATCH([19]設定!$D45,[19]第３表!$C$80:$C$136,0),12),[19]設定!$H45))</f>
        <v>1.3</v>
      </c>
    </row>
    <row r="32" spans="2:16" s="8" customFormat="1" ht="17.25" customHeight="1" x14ac:dyDescent="0.45">
      <c r="B32" s="49" t="str">
        <f>+[20]第５表!B32</f>
        <v>E19</v>
      </c>
      <c r="C32" s="50"/>
      <c r="D32" s="65" t="str">
        <f>+[20]第５表!D32</f>
        <v>ゴム製品</v>
      </c>
      <c r="E32" s="52">
        <f>IF($D32="","",IF([19]設定!$H46="",INDEX([19]第３表!$F$80:$Q$136,MATCH([19]設定!$D46,[19]第３表!$C$80:$C$136,0),1),[19]設定!$H46))</f>
        <v>21.1</v>
      </c>
      <c r="F32" s="52">
        <f>IF($D32="","",IF([19]設定!$H46="",INDEX([19]第３表!$F$80:$Q$136,MATCH([19]設定!$D46,[19]第３表!$C$80:$C$136,0),2),[19]設定!$H46))</f>
        <v>178.8</v>
      </c>
      <c r="G32" s="52">
        <f>IF($D32="","",IF([19]設定!$H46="",INDEX([19]第３表!$F$80:$Q$136,MATCH([19]設定!$D46,[19]第３表!$C$80:$C$136,0),3),[19]設定!$H46))</f>
        <v>155.4</v>
      </c>
      <c r="H32" s="55">
        <f>IF($D32="","",IF([19]設定!$H46="",INDEX([19]第３表!$F$80:$Q$136,MATCH([19]設定!$D46,[19]第３表!$C$80:$C$136,0),4),[19]設定!$H46))</f>
        <v>23.4</v>
      </c>
      <c r="I32" s="52">
        <f>IF($D32="","",IF([19]設定!$H46="",INDEX([19]第３表!$F$80:$Q$136,MATCH([19]設定!$D46,[19]第３表!$C$80:$C$136,0),5),[19]設定!$H46))</f>
        <v>21.3</v>
      </c>
      <c r="J32" s="52">
        <f>IF($D32="","",IF([19]設定!$H46="",INDEX([19]第３表!$F$80:$Q$136,MATCH([19]設定!$D46,[19]第３表!$C$80:$C$136,0),6),[19]設定!$H46))</f>
        <v>180.9</v>
      </c>
      <c r="K32" s="52">
        <f>IF($D32="","",IF([19]設定!$H46="",INDEX([19]第３表!$F$80:$Q$136,MATCH([19]設定!$D46,[19]第３表!$C$80:$C$136,0),7),[19]設定!$H46))</f>
        <v>155.4</v>
      </c>
      <c r="L32" s="55">
        <f>IF($D32="","",IF([19]設定!$H46="",INDEX([19]第３表!$F$80:$Q$136,MATCH([19]設定!$D46,[19]第３表!$C$80:$C$136,0),8),[19]設定!$H46))</f>
        <v>25.5</v>
      </c>
      <c r="M32" s="52">
        <f>IF($D32="","",IF([19]設定!$H46="",INDEX([19]第３表!$F$80:$Q$136,MATCH([19]設定!$D46,[19]第３表!$C$80:$C$136,0),9),[19]設定!$H46))</f>
        <v>20.3</v>
      </c>
      <c r="N32" s="52">
        <f>IF($D32="","",IF([19]設定!$H46="",INDEX([19]第３表!$F$80:$Q$136,MATCH([19]設定!$D46,[19]第３表!$C$80:$C$136,0),10),[19]設定!$H46))</f>
        <v>165</v>
      </c>
      <c r="O32" s="52">
        <f>IF($D32="","",IF([19]設定!$H46="",INDEX([19]第３表!$F$80:$Q$136,MATCH([19]設定!$D46,[19]第３表!$C$80:$C$136,0),11),[19]設定!$H46))</f>
        <v>155.6</v>
      </c>
      <c r="P32" s="55">
        <f>IF($D32="","",IF([19]設定!$H46="",INDEX([19]第３表!$F$80:$Q$136,MATCH([19]設定!$D46,[19]第３表!$C$80:$C$136,0),12),[19]設定!$H46))</f>
        <v>9.4</v>
      </c>
    </row>
    <row r="33" spans="2:17" s="8" customFormat="1" ht="17.25" customHeight="1" x14ac:dyDescent="0.45">
      <c r="B33" s="49" t="str">
        <f>+[20]第５表!B33</f>
        <v>E21</v>
      </c>
      <c r="C33" s="50"/>
      <c r="D33" s="65" t="str">
        <f>+[20]第５表!D33</f>
        <v>窯業・土石製品</v>
      </c>
      <c r="E33" s="52">
        <f>IF($D33="","",IF([19]設定!$H47="",INDEX([19]第３表!$F$80:$Q$136,MATCH([19]設定!$D47,[19]第３表!$C$80:$C$136,0),1),[19]設定!$H47))</f>
        <v>20.6</v>
      </c>
      <c r="F33" s="52">
        <f>IF($D33="","",IF([19]設定!$H47="",INDEX([19]第３表!$F$80:$Q$136,MATCH([19]設定!$D47,[19]第３表!$C$80:$C$136,0),2),[19]設定!$H47))</f>
        <v>174.9</v>
      </c>
      <c r="G33" s="52">
        <f>IF($D33="","",IF([19]設定!$H47="",INDEX([19]第３表!$F$80:$Q$136,MATCH([19]設定!$D47,[19]第３表!$C$80:$C$136,0),3),[19]設定!$H47))</f>
        <v>162.30000000000001</v>
      </c>
      <c r="H33" s="55">
        <f>IF($D33="","",IF([19]設定!$H47="",INDEX([19]第３表!$F$80:$Q$136,MATCH([19]設定!$D47,[19]第３表!$C$80:$C$136,0),4),[19]設定!$H47))</f>
        <v>12.6</v>
      </c>
      <c r="I33" s="52">
        <f>IF($D33="","",IF([19]設定!$H47="",INDEX([19]第３表!$F$80:$Q$136,MATCH([19]設定!$D47,[19]第３表!$C$80:$C$136,0),5),[19]設定!$H47))</f>
        <v>20.7</v>
      </c>
      <c r="J33" s="52">
        <f>IF($D33="","",IF([19]設定!$H47="",INDEX([19]第３表!$F$80:$Q$136,MATCH([19]設定!$D47,[19]第３表!$C$80:$C$136,0),6),[19]設定!$H47))</f>
        <v>177.5</v>
      </c>
      <c r="K33" s="52">
        <f>IF($D33="","",IF([19]設定!$H47="",INDEX([19]第３表!$F$80:$Q$136,MATCH([19]設定!$D47,[19]第３表!$C$80:$C$136,0),7),[19]設定!$H47))</f>
        <v>163.30000000000001</v>
      </c>
      <c r="L33" s="55">
        <f>IF($D33="","",IF([19]設定!$H47="",INDEX([19]第３表!$F$80:$Q$136,MATCH([19]設定!$D47,[19]第３表!$C$80:$C$136,0),8),[19]設定!$H47))</f>
        <v>14.2</v>
      </c>
      <c r="M33" s="52">
        <f>IF($D33="","",IF([19]設定!$H47="",INDEX([19]第３表!$F$80:$Q$136,MATCH([19]設定!$D47,[19]第３表!$C$80:$C$136,0),9),[19]設定!$H47))</f>
        <v>20.399999999999999</v>
      </c>
      <c r="N33" s="52">
        <f>IF($D33="","",IF([19]設定!$H47="",INDEX([19]第３表!$F$80:$Q$136,MATCH([19]設定!$D47,[19]第３表!$C$80:$C$136,0),10),[19]設定!$H47))</f>
        <v>165.7</v>
      </c>
      <c r="O33" s="52">
        <f>IF($D33="","",IF([19]設定!$H47="",INDEX([19]第３表!$F$80:$Q$136,MATCH([19]設定!$D47,[19]第３表!$C$80:$C$136,0),11),[19]設定!$H47))</f>
        <v>158.9</v>
      </c>
      <c r="P33" s="55">
        <f>IF($D33="","",IF([19]設定!$H47="",INDEX([19]第３表!$F$80:$Q$136,MATCH([19]設定!$D47,[19]第３表!$C$80:$C$136,0),12),[19]設定!$H47))</f>
        <v>6.8</v>
      </c>
    </row>
    <row r="34" spans="2:17" s="8" customFormat="1" ht="17.25" customHeight="1" x14ac:dyDescent="0.45">
      <c r="B34" s="49" t="str">
        <f>+[20]第５表!B34</f>
        <v>E24</v>
      </c>
      <c r="C34" s="50"/>
      <c r="D34" s="65" t="str">
        <f>+[20]第５表!D34</f>
        <v>金属製品製造業</v>
      </c>
      <c r="E34" s="55">
        <f>IF($D34="","",IF([19]設定!$H48="",INDEX([19]第３表!$F$80:$Q$136,MATCH([19]設定!$D48,[19]第３表!$C$80:$C$136,0),1),[19]設定!$H48))</f>
        <v>21.4</v>
      </c>
      <c r="F34" s="55">
        <f>IF($D34="","",IF([19]設定!$H48="",INDEX([19]第３表!$F$80:$Q$136,MATCH([19]設定!$D48,[19]第３表!$C$80:$C$136,0),2),[19]設定!$H48))</f>
        <v>169.9</v>
      </c>
      <c r="G34" s="55">
        <f>IF($D34="","",IF([19]設定!$H48="",INDEX([19]第３表!$F$80:$Q$136,MATCH([19]設定!$D48,[19]第３表!$C$80:$C$136,0),3),[19]設定!$H48))</f>
        <v>159.19999999999999</v>
      </c>
      <c r="H34" s="55">
        <f>IF($D34="","",IF([19]設定!$H48="",INDEX([19]第３表!$F$80:$Q$136,MATCH([19]設定!$D48,[19]第３表!$C$80:$C$136,0),4),[19]設定!$H48))</f>
        <v>10.7</v>
      </c>
      <c r="I34" s="55">
        <f>IF($D34="","",IF([19]設定!$H48="",INDEX([19]第３表!$F$80:$Q$136,MATCH([19]設定!$D48,[19]第３表!$C$80:$C$136,0),5),[19]設定!$H48))</f>
        <v>21.2</v>
      </c>
      <c r="J34" s="55">
        <f>IF($D34="","",IF([19]設定!$H48="",INDEX([19]第３表!$F$80:$Q$136,MATCH([19]設定!$D48,[19]第３表!$C$80:$C$136,0),6),[19]設定!$H48))</f>
        <v>177.7</v>
      </c>
      <c r="K34" s="55">
        <f>IF($D34="","",IF([19]設定!$H48="",INDEX([19]第３表!$F$80:$Q$136,MATCH([19]設定!$D48,[19]第３表!$C$80:$C$136,0),7),[19]設定!$H48))</f>
        <v>163.30000000000001</v>
      </c>
      <c r="L34" s="55">
        <f>IF($D34="","",IF([19]設定!$H48="",INDEX([19]第３表!$F$80:$Q$136,MATCH([19]設定!$D48,[19]第３表!$C$80:$C$136,0),8),[19]設定!$H48))</f>
        <v>14.4</v>
      </c>
      <c r="M34" s="55">
        <f>IF($D34="","",IF([19]設定!$H48="",INDEX([19]第３表!$F$80:$Q$136,MATCH([19]設定!$D48,[19]第３表!$C$80:$C$136,0),9),[19]設定!$H48))</f>
        <v>21.8</v>
      </c>
      <c r="N34" s="55">
        <f>IF($D34="","",IF([19]設定!$H48="",INDEX([19]第３表!$F$80:$Q$136,MATCH([19]設定!$D48,[19]第３表!$C$80:$C$136,0),10),[19]設定!$H48))</f>
        <v>157</v>
      </c>
      <c r="O34" s="55">
        <f>IF($D34="","",IF([19]設定!$H48="",INDEX([19]第３表!$F$80:$Q$136,MATCH([19]設定!$D48,[19]第３表!$C$80:$C$136,0),11),[19]設定!$H48))</f>
        <v>152.4</v>
      </c>
      <c r="P34" s="55">
        <f>IF($D34="","",IF([19]設定!$H48="",INDEX([19]第３表!$F$80:$Q$136,MATCH([19]設定!$D48,[19]第３表!$C$80:$C$136,0),12),[19]設定!$H48))</f>
        <v>4.5999999999999996</v>
      </c>
    </row>
    <row r="35" spans="2:17" s="8" customFormat="1" ht="17.25" customHeight="1" x14ac:dyDescent="0.45">
      <c r="B35" s="49" t="str">
        <f>+[20]第５表!B35</f>
        <v>E27</v>
      </c>
      <c r="C35" s="50"/>
      <c r="D35" s="65" t="str">
        <f>+[20]第５表!D35</f>
        <v>業務用機械器具</v>
      </c>
      <c r="E35" s="55">
        <f>IF($D35="","",IF([19]設定!$H49="",INDEX([19]第３表!$F$80:$Q$136,MATCH([19]設定!$D49,[19]第３表!$C$80:$C$136,0),1),[19]設定!$H49))</f>
        <v>19.600000000000001</v>
      </c>
      <c r="F35" s="55">
        <f>IF($D35="","",IF([19]設定!$H49="",INDEX([19]第３表!$F$80:$Q$136,MATCH([19]設定!$D49,[19]第３表!$C$80:$C$136,0),2),[19]設定!$H49))</f>
        <v>161.69999999999999</v>
      </c>
      <c r="G35" s="55">
        <f>IF($D35="","",IF([19]設定!$H49="",INDEX([19]第３表!$F$80:$Q$136,MATCH([19]設定!$D49,[19]第３表!$C$80:$C$136,0),3),[19]設定!$H49))</f>
        <v>152.30000000000001</v>
      </c>
      <c r="H35" s="55">
        <f>IF($D35="","",IF([19]設定!$H49="",INDEX([19]第３表!$F$80:$Q$136,MATCH([19]設定!$D49,[19]第３表!$C$80:$C$136,0),4),[19]設定!$H49))</f>
        <v>9.4</v>
      </c>
      <c r="I35" s="55">
        <f>IF($D35="","",IF([19]設定!$H49="",INDEX([19]第３表!$F$80:$Q$136,MATCH([19]設定!$D49,[19]第３表!$C$80:$C$136,0),5),[19]設定!$H49))</f>
        <v>20.100000000000001</v>
      </c>
      <c r="J35" s="55">
        <f>IF($D35="","",IF([19]設定!$H49="",INDEX([19]第３表!$F$80:$Q$136,MATCH([19]設定!$D49,[19]第３表!$C$80:$C$136,0),6),[19]設定!$H49))</f>
        <v>166.3</v>
      </c>
      <c r="K35" s="55">
        <f>IF($D35="","",IF([19]設定!$H49="",INDEX([19]第３表!$F$80:$Q$136,MATCH([19]設定!$D49,[19]第３表!$C$80:$C$136,0),7),[19]設定!$H49))</f>
        <v>154.80000000000001</v>
      </c>
      <c r="L35" s="55">
        <f>IF($D35="","",IF([19]設定!$H49="",INDEX([19]第３表!$F$80:$Q$136,MATCH([19]設定!$D49,[19]第３表!$C$80:$C$136,0),8),[19]設定!$H49))</f>
        <v>11.5</v>
      </c>
      <c r="M35" s="55">
        <f>IF($D35="","",IF([19]設定!$H49="",INDEX([19]第３表!$F$80:$Q$136,MATCH([19]設定!$D49,[19]第３表!$C$80:$C$136,0),9),[19]設定!$H49))</f>
        <v>19.100000000000001</v>
      </c>
      <c r="N35" s="55">
        <f>IF($D35="","",IF([19]設定!$H49="",INDEX([19]第３表!$F$80:$Q$136,MATCH([19]設定!$D49,[19]第３表!$C$80:$C$136,0),10),[19]設定!$H49))</f>
        <v>157.30000000000001</v>
      </c>
      <c r="O35" s="55">
        <f>IF($D35="","",IF([19]設定!$H49="",INDEX([19]第３表!$F$80:$Q$136,MATCH([19]設定!$D49,[19]第３表!$C$80:$C$136,0),11),[19]設定!$H49))</f>
        <v>149.9</v>
      </c>
      <c r="P35" s="55">
        <f>IF($D35="","",IF([19]設定!$H49="",INDEX([19]第３表!$F$80:$Q$136,MATCH([19]設定!$D49,[19]第３表!$C$80:$C$136,0),12),[19]設定!$H49))</f>
        <v>7.4</v>
      </c>
    </row>
    <row r="36" spans="2:17" s="8" customFormat="1" ht="17.25" customHeight="1" x14ac:dyDescent="0.45">
      <c r="B36" s="49" t="str">
        <f>+[20]第５表!B36</f>
        <v>E28</v>
      </c>
      <c r="C36" s="50"/>
      <c r="D36" s="65" t="str">
        <f>+[20]第５表!D36</f>
        <v>電子・デバイス</v>
      </c>
      <c r="E36" s="55">
        <f>IF($D36="","",IF([19]設定!$H50="",INDEX([19]第３表!$F$80:$Q$136,MATCH([19]設定!$D50,[19]第３表!$C$80:$C$136,0),1),[19]設定!$H50))</f>
        <v>18.3</v>
      </c>
      <c r="F36" s="55">
        <f>IF($D36="","",IF([19]設定!$H50="",INDEX([19]第３表!$F$80:$Q$136,MATCH([19]設定!$D50,[19]第３表!$C$80:$C$136,0),2),[19]設定!$H50))</f>
        <v>154.69999999999999</v>
      </c>
      <c r="G36" s="55">
        <f>IF($D36="","",IF([19]設定!$H50="",INDEX([19]第３表!$F$80:$Q$136,MATCH([19]設定!$D50,[19]第３表!$C$80:$C$136,0),3),[19]設定!$H50))</f>
        <v>142.1</v>
      </c>
      <c r="H36" s="55">
        <f>IF($D36="","",IF([19]設定!$H50="",INDEX([19]第３表!$F$80:$Q$136,MATCH([19]設定!$D50,[19]第３表!$C$80:$C$136,0),4),[19]設定!$H50))</f>
        <v>12.6</v>
      </c>
      <c r="I36" s="55">
        <f>IF($D36="","",IF([19]設定!$H50="",INDEX([19]第３表!$F$80:$Q$136,MATCH([19]設定!$D50,[19]第３表!$C$80:$C$136,0),5),[19]設定!$H50))</f>
        <v>18.2</v>
      </c>
      <c r="J36" s="55">
        <f>IF($D36="","",IF([19]設定!$H50="",INDEX([19]第３表!$F$80:$Q$136,MATCH([19]設定!$D50,[19]第３表!$C$80:$C$136,0),6),[19]設定!$H50))</f>
        <v>160.19999999999999</v>
      </c>
      <c r="K36" s="55">
        <f>IF($D36="","",IF([19]設定!$H50="",INDEX([19]第３表!$F$80:$Q$136,MATCH([19]設定!$D50,[19]第３表!$C$80:$C$136,0),7),[19]設定!$H50))</f>
        <v>144.4</v>
      </c>
      <c r="L36" s="55">
        <f>IF($D36="","",IF([19]設定!$H50="",INDEX([19]第３表!$F$80:$Q$136,MATCH([19]設定!$D50,[19]第３表!$C$80:$C$136,0),8),[19]設定!$H50))</f>
        <v>15.8</v>
      </c>
      <c r="M36" s="55">
        <f>IF($D36="","",IF([19]設定!$H50="",INDEX([19]第３表!$F$80:$Q$136,MATCH([19]設定!$D50,[19]第３表!$C$80:$C$136,0),9),[19]設定!$H50))</f>
        <v>18.399999999999999</v>
      </c>
      <c r="N36" s="55">
        <f>IF($D36="","",IF([19]設定!$H50="",INDEX([19]第３表!$F$80:$Q$136,MATCH([19]設定!$D50,[19]第３表!$C$80:$C$136,0),10),[19]設定!$H50))</f>
        <v>144.1</v>
      </c>
      <c r="O36" s="55">
        <f>IF($D36="","",IF([19]設定!$H50="",INDEX([19]第３表!$F$80:$Q$136,MATCH([19]設定!$D50,[19]第３表!$C$80:$C$136,0),11),[19]設定!$H50))</f>
        <v>137.6</v>
      </c>
      <c r="P36" s="55">
        <f>IF($D36="","",IF([19]設定!$H50="",INDEX([19]第３表!$F$80:$Q$136,MATCH([19]設定!$D50,[19]第３表!$C$80:$C$136,0),12),[19]設定!$H50))</f>
        <v>6.5</v>
      </c>
    </row>
    <row r="37" spans="2:17" s="8" customFormat="1" ht="17.25" customHeight="1" x14ac:dyDescent="0.45">
      <c r="B37" s="49" t="str">
        <f>+[20]第５表!B37</f>
        <v>E29</v>
      </c>
      <c r="C37" s="50"/>
      <c r="D37" s="65" t="str">
        <f>+[20]第５表!D37</f>
        <v>電気機械器具</v>
      </c>
      <c r="E37" s="55">
        <f>IF($D37="","",IF([19]設定!$H51="",INDEX([19]第３表!$F$80:$Q$136,MATCH([19]設定!$D51,[19]第３表!$C$80:$C$136,0),1),[19]設定!$H51))</f>
        <v>20</v>
      </c>
      <c r="F37" s="55">
        <f>IF($D37="","",IF([19]設定!$H51="",INDEX([19]第３表!$F$80:$Q$136,MATCH([19]設定!$D51,[19]第３表!$C$80:$C$136,0),2),[19]設定!$H51))</f>
        <v>164</v>
      </c>
      <c r="G37" s="55">
        <f>IF($D37="","",IF([19]設定!$H51="",INDEX([19]第３表!$F$80:$Q$136,MATCH([19]設定!$D51,[19]第３表!$C$80:$C$136,0),3),[19]設定!$H51))</f>
        <v>155.4</v>
      </c>
      <c r="H37" s="55">
        <f>IF($D37="","",IF([19]設定!$H51="",INDEX([19]第３表!$F$80:$Q$136,MATCH([19]設定!$D51,[19]第３表!$C$80:$C$136,0),4),[19]設定!$H51))</f>
        <v>8.6</v>
      </c>
      <c r="I37" s="55">
        <f>IF($D37="","",IF([19]設定!$H51="",INDEX([19]第３表!$F$80:$Q$136,MATCH([19]設定!$D51,[19]第３表!$C$80:$C$136,0),5),[19]設定!$H51))</f>
        <v>20.399999999999999</v>
      </c>
      <c r="J37" s="55">
        <f>IF($D37="","",IF([19]設定!$H51="",INDEX([19]第３表!$F$80:$Q$136,MATCH([19]設定!$D51,[19]第３表!$C$80:$C$136,0),6),[19]設定!$H51))</f>
        <v>169.3</v>
      </c>
      <c r="K37" s="55">
        <f>IF($D37="","",IF([19]設定!$H51="",INDEX([19]第３表!$F$80:$Q$136,MATCH([19]設定!$D51,[19]第３表!$C$80:$C$136,0),7),[19]設定!$H51))</f>
        <v>158</v>
      </c>
      <c r="L37" s="55">
        <f>IF($D37="","",IF([19]設定!$H51="",INDEX([19]第３表!$F$80:$Q$136,MATCH([19]設定!$D51,[19]第３表!$C$80:$C$136,0),8),[19]設定!$H51))</f>
        <v>11.3</v>
      </c>
      <c r="M37" s="55">
        <f>IF($D37="","",IF([19]設定!$H51="",INDEX([19]第３表!$F$80:$Q$136,MATCH([19]設定!$D51,[19]第３表!$C$80:$C$136,0),9),[19]設定!$H51))</f>
        <v>19.100000000000001</v>
      </c>
      <c r="N37" s="55">
        <f>IF($D37="","",IF([19]設定!$H51="",INDEX([19]第３表!$F$80:$Q$136,MATCH([19]設定!$D51,[19]第３表!$C$80:$C$136,0),10),[19]設定!$H51))</f>
        <v>150.69999999999999</v>
      </c>
      <c r="O37" s="55">
        <f>IF($D37="","",IF([19]設定!$H51="",INDEX([19]第３表!$F$80:$Q$136,MATCH([19]設定!$D51,[19]第３表!$C$80:$C$136,0),11),[19]設定!$H51))</f>
        <v>148.9</v>
      </c>
      <c r="P37" s="55">
        <f>IF($D37="","",IF([19]設定!$H51="",INDEX([19]第３表!$F$80:$Q$136,MATCH([19]設定!$D51,[19]第３表!$C$80:$C$136,0),12),[19]設定!$H51))</f>
        <v>1.8</v>
      </c>
    </row>
    <row r="38" spans="2:17" s="8" customFormat="1" ht="17.25" customHeight="1" x14ac:dyDescent="0.45">
      <c r="B38" s="49" t="str">
        <f>+[20]第５表!B38</f>
        <v>E31</v>
      </c>
      <c r="C38" s="50"/>
      <c r="D38" s="65" t="str">
        <f>+[20]第５表!D38</f>
        <v>輸送用機械器具</v>
      </c>
      <c r="E38" s="55">
        <f>IF($D38="","",IF([19]設定!$H52="",INDEX([19]第３表!$F$80:$Q$136,MATCH([19]設定!$D52,[19]第３表!$C$80:$C$136,0),1),[19]設定!$H52))</f>
        <v>20.100000000000001</v>
      </c>
      <c r="F38" s="55">
        <f>IF($D38="","",IF([19]設定!$H52="",INDEX([19]第３表!$F$80:$Q$136,MATCH([19]設定!$D52,[19]第３表!$C$80:$C$136,0),2),[19]設定!$H52))</f>
        <v>187.9</v>
      </c>
      <c r="G38" s="55">
        <f>IF($D38="","",IF([19]設定!$H52="",INDEX([19]第３表!$F$80:$Q$136,MATCH([19]設定!$D52,[19]第３表!$C$80:$C$136,0),3),[19]設定!$H52))</f>
        <v>160.69999999999999</v>
      </c>
      <c r="H38" s="55">
        <f>IF($D38="","",IF([19]設定!$H52="",INDEX([19]第３表!$F$80:$Q$136,MATCH([19]設定!$D52,[19]第３表!$C$80:$C$136,0),4),[19]設定!$H52))</f>
        <v>27.2</v>
      </c>
      <c r="I38" s="55">
        <f>IF($D38="","",IF([19]設定!$H52="",INDEX([19]第３表!$F$80:$Q$136,MATCH([19]設定!$D52,[19]第３表!$C$80:$C$136,0),5),[19]設定!$H52))</f>
        <v>20.2</v>
      </c>
      <c r="J38" s="55">
        <f>IF($D38="","",IF([19]設定!$H52="",INDEX([19]第３表!$F$80:$Q$136,MATCH([19]設定!$D52,[19]第３表!$C$80:$C$136,0),6),[19]設定!$H52))</f>
        <v>192.7</v>
      </c>
      <c r="K38" s="55">
        <f>IF($D38="","",IF([19]設定!$H52="",INDEX([19]第３表!$F$80:$Q$136,MATCH([19]設定!$D52,[19]第３表!$C$80:$C$136,0),7),[19]設定!$H52))</f>
        <v>163.1</v>
      </c>
      <c r="L38" s="55">
        <f>IF($D38="","",IF([19]設定!$H52="",INDEX([19]第３表!$F$80:$Q$136,MATCH([19]設定!$D52,[19]第３表!$C$80:$C$136,0),8),[19]設定!$H52))</f>
        <v>29.6</v>
      </c>
      <c r="M38" s="55">
        <f>IF($D38="","",IF([19]設定!$H52="",INDEX([19]第３表!$F$80:$Q$136,MATCH([19]設定!$D52,[19]第３表!$C$80:$C$136,0),9),[19]設定!$H52))</f>
        <v>20</v>
      </c>
      <c r="N38" s="55">
        <f>IF($D38="","",IF([19]設定!$H52="",INDEX([19]第３表!$F$80:$Q$136,MATCH([19]設定!$D52,[19]第３表!$C$80:$C$136,0),10),[19]設定!$H52))</f>
        <v>170.4</v>
      </c>
      <c r="O38" s="55">
        <f>IF($D38="","",IF([19]設定!$H52="",INDEX([19]第３表!$F$80:$Q$136,MATCH([19]設定!$D52,[19]第３表!$C$80:$C$136,0),11),[19]設定!$H52))</f>
        <v>151.9</v>
      </c>
      <c r="P38" s="55">
        <f>IF($D38="","",IF([19]設定!$H52="",INDEX([19]第３表!$F$80:$Q$136,MATCH([19]設定!$D52,[19]第３表!$C$80:$C$136,0),12),[19]設定!$H52))</f>
        <v>18.5</v>
      </c>
    </row>
    <row r="39" spans="2:17" s="8" customFormat="1" ht="17.25" customHeight="1" x14ac:dyDescent="0.45">
      <c r="B39" s="66" t="str">
        <f>+[20]第５表!B39</f>
        <v>ES</v>
      </c>
      <c r="C39" s="67"/>
      <c r="D39" s="68" t="str">
        <f>+[20]第５表!D39</f>
        <v>はん用・生産用機械器具</v>
      </c>
      <c r="E39" s="69">
        <f>IF($D39="","",IF([19]設定!$H53="",INDEX([19]第３表!$F$80:$Q$136,MATCH([19]設定!$D53,[19]第３表!$C$80:$C$136,0),1),[19]設定!$H53))</f>
        <v>21</v>
      </c>
      <c r="F39" s="69">
        <f>IF($D39="","",IF([19]設定!$H53="",INDEX([19]第３表!$F$80:$Q$136,MATCH([19]設定!$D53,[19]第３表!$C$80:$C$136,0),2),[19]設定!$H53))</f>
        <v>183.2</v>
      </c>
      <c r="G39" s="69">
        <f>IF($D39="","",IF([19]設定!$H53="",INDEX([19]第３表!$F$80:$Q$136,MATCH([19]設定!$D53,[19]第３表!$C$80:$C$136,0),3),[19]設定!$H53))</f>
        <v>160.69999999999999</v>
      </c>
      <c r="H39" s="69">
        <f>IF($D39="","",IF([19]設定!$H53="",INDEX([19]第３表!$F$80:$Q$136,MATCH([19]設定!$D53,[19]第３表!$C$80:$C$136,0),4),[19]設定!$H53))</f>
        <v>22.5</v>
      </c>
      <c r="I39" s="69">
        <f>IF($D39="","",IF([19]設定!$H53="",INDEX([19]第３表!$F$80:$Q$136,MATCH([19]設定!$D53,[19]第３表!$C$80:$C$136,0),5),[19]設定!$H53))</f>
        <v>21.7</v>
      </c>
      <c r="J39" s="69">
        <f>IF($D39="","",IF([19]設定!$H53="",INDEX([19]第３表!$F$80:$Q$136,MATCH([19]設定!$D53,[19]第３表!$C$80:$C$136,0),6),[19]設定!$H53))</f>
        <v>194.7</v>
      </c>
      <c r="K39" s="69">
        <f>IF($D39="","",IF([19]設定!$H53="",INDEX([19]第３表!$F$80:$Q$136,MATCH([19]設定!$D53,[19]第３表!$C$80:$C$136,0),7),[19]設定!$H53))</f>
        <v>163.69999999999999</v>
      </c>
      <c r="L39" s="69">
        <f>IF($D39="","",IF([19]設定!$H53="",INDEX([19]第３表!$F$80:$Q$136,MATCH([19]設定!$D53,[19]第３表!$C$80:$C$136,0),8),[19]設定!$H53))</f>
        <v>31</v>
      </c>
      <c r="M39" s="69">
        <f>IF($D39="","",IF([19]設定!$H53="",INDEX([19]第３表!$F$80:$Q$136,MATCH([19]設定!$D53,[19]第３表!$C$80:$C$136,0),9),[19]設定!$H53))</f>
        <v>19.399999999999999</v>
      </c>
      <c r="N39" s="69">
        <f>IF($D39="","",IF([19]設定!$H53="",INDEX([19]第３表!$F$80:$Q$136,MATCH([19]設定!$D53,[19]第３表!$C$80:$C$136,0),10),[19]設定!$H53))</f>
        <v>157.6</v>
      </c>
      <c r="O39" s="69">
        <f>IF($D39="","",IF([19]設定!$H53="",INDEX([19]第３表!$F$80:$Q$136,MATCH([19]設定!$D53,[19]第３表!$C$80:$C$136,0),11),[19]設定!$H53))</f>
        <v>154</v>
      </c>
      <c r="P39" s="69">
        <f>IF($D39="","",IF([19]設定!$H53="",INDEX([19]第３表!$F$80:$Q$136,MATCH([19]設定!$D53,[19]第３表!$C$80:$C$136,0),12),[19]設定!$H53))</f>
        <v>3.6</v>
      </c>
    </row>
    <row r="40" spans="2:17" s="8" customFormat="1" ht="16.2" customHeight="1" x14ac:dyDescent="0.45">
      <c r="B40" s="70" t="str">
        <f>+[20]第５表!B40</f>
        <v>R91</v>
      </c>
      <c r="C40" s="71"/>
      <c r="D40" s="72" t="str">
        <f>+[20]第５表!D40</f>
        <v>職業紹介・労働者派遣業</v>
      </c>
      <c r="E40" s="73">
        <f>IF($D40="","",IF([19]設定!$H54="",INDEX([19]第３表!$F$80:$Q$136,MATCH([19]設定!$D54,[19]第３表!$C$80:$C$136,0),1),[19]設定!$H54))</f>
        <v>19</v>
      </c>
      <c r="F40" s="73">
        <f>IF($D40="","",IF([19]設定!$H54="",INDEX([19]第３表!$F$80:$Q$136,MATCH([19]設定!$D54,[19]第３表!$C$80:$C$136,0),2),[19]設定!$H54))</f>
        <v>152.4</v>
      </c>
      <c r="G40" s="73">
        <f>IF($D40="","",IF([19]設定!$H54="",INDEX([19]第３表!$F$80:$Q$136,MATCH([19]設定!$D54,[19]第３表!$C$80:$C$136,0),3),[19]設定!$H54))</f>
        <v>144</v>
      </c>
      <c r="H40" s="73">
        <f>IF($D40="","",IF([19]設定!$H54="",INDEX([19]第３表!$F$80:$Q$136,MATCH([19]設定!$D54,[19]第３表!$C$80:$C$136,0),4),[19]設定!$H54))</f>
        <v>8.4</v>
      </c>
      <c r="I40" s="73">
        <f>IF($D40="","",IF([19]設定!$H54="",INDEX([19]第３表!$F$80:$Q$136,MATCH([19]設定!$D54,[19]第３表!$C$80:$C$136,0),5),[19]設定!$H54))</f>
        <v>19.100000000000001</v>
      </c>
      <c r="J40" s="73">
        <f>IF($D40="","",IF([19]設定!$H54="",INDEX([19]第３表!$F$80:$Q$136,MATCH([19]設定!$D54,[19]第３表!$C$80:$C$136,0),6),[19]設定!$H54))</f>
        <v>163.9</v>
      </c>
      <c r="K40" s="73">
        <f>IF($D40="","",IF([19]設定!$H54="",INDEX([19]第３表!$F$80:$Q$136,MATCH([19]設定!$D54,[19]第３表!$C$80:$C$136,0),7),[19]設定!$H54))</f>
        <v>150.4</v>
      </c>
      <c r="L40" s="73">
        <f>IF($D40="","",IF([19]設定!$H54="",INDEX([19]第３表!$F$80:$Q$136,MATCH([19]設定!$D54,[19]第３表!$C$80:$C$136,0),8),[19]設定!$H54))</f>
        <v>13.5</v>
      </c>
      <c r="M40" s="73">
        <f>IF($D40="","",IF([19]設定!$H54="",INDEX([19]第３表!$F$80:$Q$136,MATCH([19]設定!$D54,[19]第３表!$C$80:$C$136,0),9),[19]設定!$H54))</f>
        <v>19</v>
      </c>
      <c r="N40" s="73">
        <f>IF($D40="","",IF([19]設定!$H54="",INDEX([19]第３表!$F$80:$Q$136,MATCH([19]設定!$D54,[19]第３表!$C$80:$C$136,0),10),[19]設定!$H54))</f>
        <v>144.1</v>
      </c>
      <c r="O40" s="73">
        <f>IF($D40="","",IF([19]設定!$H54="",INDEX([19]第３表!$F$80:$Q$136,MATCH([19]設定!$D54,[19]第３表!$C$80:$C$136,0),11),[19]設定!$H54))</f>
        <v>139.4</v>
      </c>
      <c r="P40" s="73">
        <f>IF($D40="","",IF([19]設定!$H54="",INDEX([19]第３表!$F$80:$Q$136,MATCH([19]設定!$D54,[19]第３表!$C$80:$C$136,0),12),[19]設定!$H54))</f>
        <v>4.7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IF($D47="","",IF([19]設定!$I23="",INDEX([19]第３表!$F$10:$Q$66,MATCH([19]設定!$D23,[19]第３表!$C$10:$C$66,0),1),[19]設定!$I23))</f>
        <v>19</v>
      </c>
      <c r="F47" s="48">
        <f>IF($D47="","",IF([19]設定!$I23="",INDEX([19]第３表!$F$10:$Q$66,MATCH([19]設定!$D23,[19]第３表!$C$10:$C$66,0),2),[19]設定!$I23))</f>
        <v>148.80000000000001</v>
      </c>
      <c r="G47" s="48">
        <f>IF($D47="","",IF([19]設定!$I23="",INDEX([19]第３表!$F$10:$Q$66,MATCH([19]設定!$D23,[19]第３表!$C$10:$C$66,0),3),[19]設定!$I23))</f>
        <v>137.80000000000001</v>
      </c>
      <c r="H47" s="48">
        <f>IF($D47="","",IF([19]設定!$I23="",INDEX([19]第３表!$F$10:$Q$66,MATCH([19]設定!$D23,[19]第３表!$C$10:$C$66,0),4),[19]設定!$I23))</f>
        <v>11</v>
      </c>
      <c r="I47" s="48">
        <f>IF($D47="","",IF([19]設定!$I23="",INDEX([19]第３表!$F$10:$Q$66,MATCH([19]設定!$D23,[19]第３表!$C$10:$C$66,0),5),[19]設定!$I23))</f>
        <v>19.5</v>
      </c>
      <c r="J47" s="48">
        <f>IF($D47="","",IF([19]設定!$I23="",INDEX([19]第３表!$F$10:$Q$66,MATCH([19]設定!$D23,[19]第３表!$C$10:$C$66,0),6),[19]設定!$I23))</f>
        <v>161.69999999999999</v>
      </c>
      <c r="K47" s="48">
        <f>IF($D47="","",IF([19]設定!$I23="",INDEX([19]第３表!$F$10:$Q$66,MATCH([19]設定!$D23,[19]第３表!$C$10:$C$66,0),7),[19]設定!$I23))</f>
        <v>146.1</v>
      </c>
      <c r="L47" s="48">
        <f>IF($D47="","",IF([19]設定!$I23="",INDEX([19]第３表!$F$10:$Q$66,MATCH([19]設定!$D23,[19]第３表!$C$10:$C$66,0),8),[19]設定!$I23))</f>
        <v>15.6</v>
      </c>
      <c r="M47" s="48">
        <f>IF($D47="","",IF([19]設定!$I23="",INDEX([19]第３表!$F$10:$Q$66,MATCH([19]設定!$D23,[19]第３表!$C$10:$C$66,0),9),[19]設定!$I23))</f>
        <v>18.600000000000001</v>
      </c>
      <c r="N47" s="48">
        <f>IF($D47="","",IF([19]設定!$I23="",INDEX([19]第３表!$F$10:$Q$66,MATCH([19]設定!$D23,[19]第３表!$C$10:$C$66,0),10),[19]設定!$I23))</f>
        <v>136</v>
      </c>
      <c r="O47" s="48">
        <f>IF($D47="","",IF([19]設定!$I23="",INDEX([19]第３表!$F$10:$Q$66,MATCH([19]設定!$D23,[19]第３表!$C$10:$C$66,0),11),[19]設定!$I23))</f>
        <v>129.6</v>
      </c>
      <c r="P47" s="48">
        <f>IF($D47="","",IF([19]設定!$I23="",INDEX([19]第３表!$F$10:$Q$66,MATCH([19]設定!$D23,[19]第３表!$C$10:$C$66,0),12),[19]設定!$I23))</f>
        <v>6.4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IF($D48="","",IF([19]設定!$I24="",INDEX([19]第３表!$F$10:$Q$66,MATCH([19]設定!$D24,[19]第３表!$C$10:$C$66,0),1),[19]設定!$I24))</f>
        <v>20.6</v>
      </c>
      <c r="F48" s="52">
        <f>IF($D48="","",IF([19]設定!$I24="",INDEX([19]第３表!$F$10:$Q$66,MATCH([19]設定!$D24,[19]第３表!$C$10:$C$66,0),2),[19]設定!$I24))</f>
        <v>167.6</v>
      </c>
      <c r="G48" s="52">
        <f>IF($D48="","",IF([19]設定!$I24="",INDEX([19]第３表!$F$10:$Q$66,MATCH([19]設定!$D24,[19]第３表!$C$10:$C$66,0),3),[19]設定!$I24))</f>
        <v>157.30000000000001</v>
      </c>
      <c r="H48" s="53">
        <f>IF($D48="","",IF([19]設定!$I24="",INDEX([19]第３表!$F$10:$Q$66,MATCH([19]設定!$D24,[19]第３表!$C$10:$C$66,0),4),[19]設定!$I24))</f>
        <v>10.3</v>
      </c>
      <c r="I48" s="54">
        <f>IF($D48="","",IF([19]設定!$I24="",INDEX([19]第３表!$F$10:$Q$66,MATCH([19]設定!$D24,[19]第３表!$C$10:$C$66,0),5),[19]設定!$I24))</f>
        <v>20.5</v>
      </c>
      <c r="J48" s="54">
        <f>IF($D48="","",IF([19]設定!$I24="",INDEX([19]第３表!$F$10:$Q$66,MATCH([19]設定!$D24,[19]第３表!$C$10:$C$66,0),6),[19]設定!$I24))</f>
        <v>168.3</v>
      </c>
      <c r="K48" s="54">
        <f>IF($D48="","",IF([19]設定!$I24="",INDEX([19]第３表!$F$10:$Q$66,MATCH([19]設定!$D24,[19]第３表!$C$10:$C$66,0),7),[19]設定!$I24))</f>
        <v>156.80000000000001</v>
      </c>
      <c r="L48" s="55">
        <f>IF($D48="","",IF([19]設定!$I24="",INDEX([19]第３表!$F$10:$Q$66,MATCH([19]設定!$D24,[19]第３表!$C$10:$C$66,0),8),[19]設定!$I24))</f>
        <v>11.5</v>
      </c>
      <c r="M48" s="56">
        <f>IF($D48="","",IF([19]設定!$I24="",INDEX([19]第３表!$F$10:$Q$66,MATCH([19]設定!$D24,[19]第３表!$C$10:$C$66,0),9),[19]設定!$I24))</f>
        <v>21.2</v>
      </c>
      <c r="N48" s="56">
        <f>IF($D48="","",IF([19]設定!$I24="",INDEX([19]第３表!$F$10:$Q$66,MATCH([19]設定!$D24,[19]第３表!$C$10:$C$66,0),10),[19]設定!$I24))</f>
        <v>165</v>
      </c>
      <c r="O48" s="56">
        <f>IF($D48="","",IF([19]設定!$I24="",INDEX([19]第３表!$F$10:$Q$66,MATCH([19]設定!$D24,[19]第３表!$C$10:$C$66,0),11),[19]設定!$I24))</f>
        <v>159.80000000000001</v>
      </c>
      <c r="P48" s="57">
        <f>IF($D48="","",IF([19]設定!$I24="",INDEX([19]第３表!$F$10:$Q$66,MATCH([19]設定!$D24,[19]第３表!$C$10:$C$66,0),12),[19]設定!$I24))</f>
        <v>5.2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IF($D49="","",IF([19]設定!$I25="",INDEX([19]第３表!$F$10:$Q$66,MATCH([19]設定!$D25,[19]第３表!$C$10:$C$66,0),1),[19]設定!$I25))</f>
        <v>19.8</v>
      </c>
      <c r="F49" s="52">
        <f>IF($D49="","",IF([19]設定!$I25="",INDEX([19]第３表!$F$10:$Q$66,MATCH([19]設定!$D25,[19]第３表!$C$10:$C$66,0),2),[19]設定!$I25))</f>
        <v>162.30000000000001</v>
      </c>
      <c r="G49" s="52">
        <f>IF($D49="","",IF([19]設定!$I25="",INDEX([19]第３表!$F$10:$Q$66,MATCH([19]設定!$D25,[19]第３表!$C$10:$C$66,0),3),[19]設定!$I25))</f>
        <v>149.30000000000001</v>
      </c>
      <c r="H49" s="53">
        <f>IF($D49="","",IF([19]設定!$I25="",INDEX([19]第３表!$F$10:$Q$66,MATCH([19]設定!$D25,[19]第３表!$C$10:$C$66,0),4),[19]設定!$I25))</f>
        <v>13</v>
      </c>
      <c r="I49" s="54">
        <f>IF($D49="","",IF([19]設定!$I25="",INDEX([19]第３表!$F$10:$Q$66,MATCH([19]設定!$D25,[19]第３表!$C$10:$C$66,0),5),[19]設定!$I25))</f>
        <v>19.899999999999999</v>
      </c>
      <c r="J49" s="54">
        <f>IF($D49="","",IF([19]設定!$I25="",INDEX([19]第３表!$F$10:$Q$66,MATCH([19]設定!$D25,[19]第３表!$C$10:$C$66,0),6),[19]設定!$I25))</f>
        <v>168.9</v>
      </c>
      <c r="K49" s="54">
        <f>IF($D49="","",IF([19]設定!$I25="",INDEX([19]第３表!$F$10:$Q$66,MATCH([19]設定!$D25,[19]第３表!$C$10:$C$66,0),7),[19]設定!$I25))</f>
        <v>152.4</v>
      </c>
      <c r="L49" s="55">
        <f>IF($D49="","",IF([19]設定!$I25="",INDEX([19]第３表!$F$10:$Q$66,MATCH([19]設定!$D25,[19]第３表!$C$10:$C$66,0),8),[19]設定!$I25))</f>
        <v>16.5</v>
      </c>
      <c r="M49" s="56">
        <f>IF($D49="","",IF([19]設定!$I25="",INDEX([19]第３表!$F$10:$Q$66,MATCH([19]設定!$D25,[19]第３表!$C$10:$C$66,0),9),[19]設定!$I25))</f>
        <v>19.600000000000001</v>
      </c>
      <c r="N49" s="56">
        <f>IF($D49="","",IF([19]設定!$I25="",INDEX([19]第３表!$F$10:$Q$66,MATCH([19]設定!$D25,[19]第３表!$C$10:$C$66,0),10),[19]設定!$I25))</f>
        <v>151.69999999999999</v>
      </c>
      <c r="O49" s="56">
        <f>IF($D49="","",IF([19]設定!$I25="",INDEX([19]第３表!$F$10:$Q$66,MATCH([19]設定!$D25,[19]第３表!$C$10:$C$66,0),11),[19]設定!$I25))</f>
        <v>144.30000000000001</v>
      </c>
      <c r="P49" s="57">
        <f>IF($D49="","",IF([19]設定!$I25="",INDEX([19]第３表!$F$10:$Q$66,MATCH([19]設定!$D25,[19]第３表!$C$10:$C$66,0),12),[19]設定!$I25))</f>
        <v>7.4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IF($D50="","",IF([19]設定!$I26="",INDEX([19]第３表!$F$10:$Q$66,MATCH([19]設定!$D26,[19]第３表!$C$10:$C$66,0),1),[19]設定!$I26))</f>
        <v>19.2</v>
      </c>
      <c r="F50" s="52">
        <f>IF($D50="","",IF([19]設定!$I26="",INDEX([19]第３表!$F$10:$Q$66,MATCH([19]設定!$D26,[19]第３表!$C$10:$C$66,0),2),[19]設定!$I26))</f>
        <v>156.6</v>
      </c>
      <c r="G50" s="52">
        <f>IF($D50="","",IF([19]設定!$I26="",INDEX([19]第３表!$F$10:$Q$66,MATCH([19]設定!$D26,[19]第３表!$C$10:$C$66,0),3),[19]設定!$I26))</f>
        <v>140.4</v>
      </c>
      <c r="H50" s="53">
        <f>IF($D50="","",IF([19]設定!$I26="",INDEX([19]第３表!$F$10:$Q$66,MATCH([19]設定!$D26,[19]第３表!$C$10:$C$66,0),4),[19]設定!$I26))</f>
        <v>16.2</v>
      </c>
      <c r="I50" s="54">
        <f>IF($D50="","",IF([19]設定!$I26="",INDEX([19]第３表!$F$10:$Q$66,MATCH([19]設定!$D26,[19]第３表!$C$10:$C$66,0),5),[19]設定!$I26))</f>
        <v>19.2</v>
      </c>
      <c r="J50" s="54">
        <f>IF($D50="","",IF([19]設定!$I26="",INDEX([19]第３表!$F$10:$Q$66,MATCH([19]設定!$D26,[19]第３表!$C$10:$C$66,0),6),[19]設定!$I26))</f>
        <v>160.1</v>
      </c>
      <c r="K50" s="54">
        <f>IF($D50="","",IF([19]設定!$I26="",INDEX([19]第３表!$F$10:$Q$66,MATCH([19]設定!$D26,[19]第３表!$C$10:$C$66,0),7),[19]設定!$I26))</f>
        <v>142.4</v>
      </c>
      <c r="L50" s="55">
        <f>IF($D50="","",IF([19]設定!$I26="",INDEX([19]第３表!$F$10:$Q$66,MATCH([19]設定!$D26,[19]第３表!$C$10:$C$66,0),8),[19]設定!$I26))</f>
        <v>17.7</v>
      </c>
      <c r="M50" s="56">
        <f>IF($D50="","",IF([19]設定!$I26="",INDEX([19]第３表!$F$10:$Q$66,MATCH([19]設定!$D26,[19]第３表!$C$10:$C$66,0),9),[19]設定!$I26))</f>
        <v>19</v>
      </c>
      <c r="N50" s="56">
        <f>IF($D50="","",IF([19]設定!$I26="",INDEX([19]第３表!$F$10:$Q$66,MATCH([19]設定!$D26,[19]第３表!$C$10:$C$66,0),10),[19]設定!$I26))</f>
        <v>135.19999999999999</v>
      </c>
      <c r="O50" s="56">
        <f>IF($D50="","",IF([19]設定!$I26="",INDEX([19]第３表!$F$10:$Q$66,MATCH([19]設定!$D26,[19]第３表!$C$10:$C$66,0),11),[19]設定!$I26))</f>
        <v>128.19999999999999</v>
      </c>
      <c r="P50" s="57">
        <f>IF($D50="","",IF([19]設定!$I26="",INDEX([19]第３表!$F$10:$Q$66,MATCH([19]設定!$D26,[19]第３表!$C$10:$C$66,0),12),[19]設定!$I26))</f>
        <v>7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IF($D51="","",IF([19]設定!$I27="",INDEX([19]第３表!$F$10:$Q$66,MATCH([19]設定!$D27,[19]第３表!$C$10:$C$66,0),1),[19]設定!$I27))</f>
        <v>19.3</v>
      </c>
      <c r="F51" s="52">
        <f>IF($D51="","",IF([19]設定!$I27="",INDEX([19]第３表!$F$10:$Q$66,MATCH([19]設定!$D27,[19]第３表!$C$10:$C$66,0),2),[19]設定!$I27))</f>
        <v>157.1</v>
      </c>
      <c r="G51" s="52">
        <f>IF($D51="","",IF([19]設定!$I27="",INDEX([19]第３表!$F$10:$Q$66,MATCH([19]設定!$D27,[19]第３表!$C$10:$C$66,0),3),[19]設定!$I27))</f>
        <v>144.19999999999999</v>
      </c>
      <c r="H51" s="53">
        <f>IF($D51="","",IF([19]設定!$I27="",INDEX([19]第３表!$F$10:$Q$66,MATCH([19]設定!$D27,[19]第３表!$C$10:$C$66,0),4),[19]設定!$I27))</f>
        <v>12.9</v>
      </c>
      <c r="I51" s="54">
        <f>IF($D51="","",IF([19]設定!$I27="",INDEX([19]第３表!$F$10:$Q$66,MATCH([19]設定!$D27,[19]第３表!$C$10:$C$66,0),5),[19]設定!$I27))</f>
        <v>19.399999999999999</v>
      </c>
      <c r="J51" s="54">
        <f>IF($D51="","",IF([19]設定!$I27="",INDEX([19]第３表!$F$10:$Q$66,MATCH([19]設定!$D27,[19]第３表!$C$10:$C$66,0),6),[19]設定!$I27))</f>
        <v>158.6</v>
      </c>
      <c r="K51" s="54">
        <f>IF($D51="","",IF([19]設定!$I27="",INDEX([19]第３表!$F$10:$Q$66,MATCH([19]設定!$D27,[19]第３表!$C$10:$C$66,0),7),[19]設定!$I27))</f>
        <v>145.5</v>
      </c>
      <c r="L51" s="55">
        <f>IF($D51="","",IF([19]設定!$I27="",INDEX([19]第３表!$F$10:$Q$66,MATCH([19]設定!$D27,[19]第３表!$C$10:$C$66,0),8),[19]設定!$I27))</f>
        <v>13.1</v>
      </c>
      <c r="M51" s="56">
        <f>IF($D51="","",IF([19]設定!$I27="",INDEX([19]第３表!$F$10:$Q$66,MATCH([19]設定!$D27,[19]第３表!$C$10:$C$66,0),9),[19]設定!$I27))</f>
        <v>19.2</v>
      </c>
      <c r="N51" s="56">
        <f>IF($D51="","",IF([19]設定!$I27="",INDEX([19]第３表!$F$10:$Q$66,MATCH([19]設定!$D27,[19]第３表!$C$10:$C$66,0),10),[19]設定!$I27))</f>
        <v>154.1</v>
      </c>
      <c r="O51" s="56">
        <f>IF($D51="","",IF([19]設定!$I27="",INDEX([19]第３表!$F$10:$Q$66,MATCH([19]設定!$D27,[19]第３表!$C$10:$C$66,0),11),[19]設定!$I27))</f>
        <v>141.5</v>
      </c>
      <c r="P51" s="57">
        <f>IF($D51="","",IF([19]設定!$I27="",INDEX([19]第３表!$F$10:$Q$66,MATCH([19]設定!$D27,[19]第３表!$C$10:$C$66,0),12),[19]設定!$I27))</f>
        <v>12.6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IF($D52="","",IF([19]設定!$I28="",INDEX([19]第３表!$F$10:$Q$66,MATCH([19]設定!$D28,[19]第３表!$C$10:$C$66,0),1),[19]設定!$I28))</f>
        <v>20.5</v>
      </c>
      <c r="F52" s="52">
        <f>IF($D52="","",IF([19]設定!$I28="",INDEX([19]第３表!$F$10:$Q$66,MATCH([19]設定!$D28,[19]第３表!$C$10:$C$66,0),2),[19]設定!$I28))</f>
        <v>174.7</v>
      </c>
      <c r="G52" s="52">
        <f>IF($D52="","",IF([19]設定!$I28="",INDEX([19]第３表!$F$10:$Q$66,MATCH([19]設定!$D28,[19]第３表!$C$10:$C$66,0),3),[19]設定!$I28))</f>
        <v>150.9</v>
      </c>
      <c r="H52" s="53">
        <f>IF($D52="","",IF([19]設定!$I28="",INDEX([19]第３表!$F$10:$Q$66,MATCH([19]設定!$D28,[19]第３表!$C$10:$C$66,0),4),[19]設定!$I28))</f>
        <v>23.8</v>
      </c>
      <c r="I52" s="54">
        <f>IF($D52="","",IF([19]設定!$I28="",INDEX([19]第３表!$F$10:$Q$66,MATCH([19]設定!$D28,[19]第３表!$C$10:$C$66,0),5),[19]設定!$I28))</f>
        <v>20.8</v>
      </c>
      <c r="J52" s="54">
        <f>IF($D52="","",IF([19]設定!$I28="",INDEX([19]第３表!$F$10:$Q$66,MATCH([19]設定!$D28,[19]第３表!$C$10:$C$66,0),6),[19]設定!$I28))</f>
        <v>180.6</v>
      </c>
      <c r="K52" s="54">
        <f>IF($D52="","",IF([19]設定!$I28="",INDEX([19]第３表!$F$10:$Q$66,MATCH([19]設定!$D28,[19]第３表!$C$10:$C$66,0),7),[19]設定!$I28))</f>
        <v>153.6</v>
      </c>
      <c r="L52" s="55">
        <f>IF($D52="","",IF([19]設定!$I28="",INDEX([19]第３表!$F$10:$Q$66,MATCH([19]設定!$D28,[19]第３表!$C$10:$C$66,0),8),[19]設定!$I28))</f>
        <v>27</v>
      </c>
      <c r="M52" s="56">
        <f>IF($D52="","",IF([19]設定!$I28="",INDEX([19]第３表!$F$10:$Q$66,MATCH([19]設定!$D28,[19]第３表!$C$10:$C$66,0),9),[19]設定!$I28))</f>
        <v>19.100000000000001</v>
      </c>
      <c r="N52" s="56">
        <f>IF($D52="","",IF([19]設定!$I28="",INDEX([19]第３表!$F$10:$Q$66,MATCH([19]設定!$D28,[19]第３表!$C$10:$C$66,0),10),[19]設定!$I28))</f>
        <v>142.9</v>
      </c>
      <c r="O52" s="56">
        <f>IF($D52="","",IF([19]設定!$I28="",INDEX([19]第３表!$F$10:$Q$66,MATCH([19]設定!$D28,[19]第３表!$C$10:$C$66,0),11),[19]設定!$I28))</f>
        <v>136.5</v>
      </c>
      <c r="P52" s="57">
        <f>IF($D52="","",IF([19]設定!$I28="",INDEX([19]第３表!$F$10:$Q$66,MATCH([19]設定!$D28,[19]第３表!$C$10:$C$66,0),12),[19]設定!$I28))</f>
        <v>6.4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IF($D53="","",IF([19]設定!$I29="",INDEX([19]第３表!$F$10:$Q$66,MATCH([19]設定!$D29,[19]第３表!$C$10:$C$66,0),1),[19]設定!$I29))</f>
        <v>18.2</v>
      </c>
      <c r="F53" s="52">
        <f>IF($D53="","",IF([19]設定!$I29="",INDEX([19]第３表!$F$10:$Q$66,MATCH([19]設定!$D29,[19]第３表!$C$10:$C$66,0),2),[19]設定!$I29))</f>
        <v>126.7</v>
      </c>
      <c r="G53" s="52">
        <f>IF($D53="","",IF([19]設定!$I29="",INDEX([19]第３表!$F$10:$Q$66,MATCH([19]設定!$D29,[19]第３表!$C$10:$C$66,0),3),[19]設定!$I29))</f>
        <v>119.4</v>
      </c>
      <c r="H53" s="53">
        <f>IF($D53="","",IF([19]設定!$I29="",INDEX([19]第３表!$F$10:$Q$66,MATCH([19]設定!$D29,[19]第３表!$C$10:$C$66,0),4),[19]設定!$I29))</f>
        <v>7.3</v>
      </c>
      <c r="I53" s="54">
        <f>IF($D53="","",IF([19]設定!$I29="",INDEX([19]第３表!$F$10:$Q$66,MATCH([19]設定!$D29,[19]第３表!$C$10:$C$66,0),5),[19]設定!$I29))</f>
        <v>19.2</v>
      </c>
      <c r="J53" s="54">
        <f>IF($D53="","",IF([19]設定!$I29="",INDEX([19]第３表!$F$10:$Q$66,MATCH([19]設定!$D29,[19]第３表!$C$10:$C$66,0),6),[19]設定!$I29))</f>
        <v>151</v>
      </c>
      <c r="K53" s="54">
        <f>IF($D53="","",IF([19]設定!$I29="",INDEX([19]第３表!$F$10:$Q$66,MATCH([19]設定!$D29,[19]第３表!$C$10:$C$66,0),7),[19]設定!$I29))</f>
        <v>138.5</v>
      </c>
      <c r="L53" s="55">
        <f>IF($D53="","",IF([19]設定!$I29="",INDEX([19]第３表!$F$10:$Q$66,MATCH([19]設定!$D29,[19]第３表!$C$10:$C$66,0),8),[19]設定!$I29))</f>
        <v>12.5</v>
      </c>
      <c r="M53" s="56">
        <f>IF($D53="","",IF([19]設定!$I29="",INDEX([19]第３表!$F$10:$Q$66,MATCH([19]設定!$D29,[19]第３表!$C$10:$C$66,0),9),[19]設定!$I29))</f>
        <v>17.399999999999999</v>
      </c>
      <c r="N53" s="56">
        <f>IF($D53="","",IF([19]設定!$I29="",INDEX([19]第３表!$F$10:$Q$66,MATCH([19]設定!$D29,[19]第３表!$C$10:$C$66,0),10),[19]設定!$I29))</f>
        <v>110</v>
      </c>
      <c r="O53" s="56">
        <f>IF($D53="","",IF([19]設定!$I29="",INDEX([19]第３表!$F$10:$Q$66,MATCH([19]設定!$D29,[19]第３表!$C$10:$C$66,0),11),[19]設定!$I29))</f>
        <v>106.2</v>
      </c>
      <c r="P53" s="57">
        <f>IF($D53="","",IF([19]設定!$I29="",INDEX([19]第３表!$F$10:$Q$66,MATCH([19]設定!$D29,[19]第３表!$C$10:$C$66,0),12),[19]設定!$I29))</f>
        <v>3.8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>
        <f>IF($D54="","",IF([19]設定!$I30="",INDEX([19]第３表!$F$10:$Q$66,MATCH([19]設定!$D30,[19]第３表!$C$10:$C$66,0),1),[19]設定!$I30))</f>
        <v>19.600000000000001</v>
      </c>
      <c r="F54" s="52">
        <f>IF($D54="","",IF([19]設定!$I30="",INDEX([19]第３表!$F$10:$Q$66,MATCH([19]設定!$D30,[19]第３表!$C$10:$C$66,0),2),[19]設定!$I30))</f>
        <v>141</v>
      </c>
      <c r="G54" s="52">
        <f>IF($D54="","",IF([19]設定!$I30="",INDEX([19]第３表!$F$10:$Q$66,MATCH([19]設定!$D30,[19]第３表!$C$10:$C$66,0),3),[19]設定!$I30))</f>
        <v>136.6</v>
      </c>
      <c r="H54" s="53">
        <f>IF($D54="","",IF([19]設定!$I30="",INDEX([19]第３表!$F$10:$Q$66,MATCH([19]設定!$D30,[19]第３表!$C$10:$C$66,0),4),[19]設定!$I30))</f>
        <v>4.4000000000000004</v>
      </c>
      <c r="I54" s="54">
        <f>IF($D54="","",IF([19]設定!$I30="",INDEX([19]第３表!$F$10:$Q$66,MATCH([19]設定!$D30,[19]第３表!$C$10:$C$66,0),5),[19]設定!$I30))</f>
        <v>19.3</v>
      </c>
      <c r="J54" s="54">
        <f>IF($D54="","",IF([19]設定!$I30="",INDEX([19]第３表!$F$10:$Q$66,MATCH([19]設定!$D30,[19]第３表!$C$10:$C$66,0),6),[19]設定!$I30))</f>
        <v>140.5</v>
      </c>
      <c r="K54" s="54">
        <f>IF($D54="","",IF([19]設定!$I30="",INDEX([19]第３表!$F$10:$Q$66,MATCH([19]設定!$D30,[19]第３表!$C$10:$C$66,0),7),[19]設定!$I30))</f>
        <v>137.4</v>
      </c>
      <c r="L54" s="55">
        <f>IF($D54="","",IF([19]設定!$I30="",INDEX([19]第３表!$F$10:$Q$66,MATCH([19]設定!$D30,[19]第３表!$C$10:$C$66,0),8),[19]設定!$I30))</f>
        <v>3.1</v>
      </c>
      <c r="M54" s="56">
        <f>IF($D54="","",IF([19]設定!$I30="",INDEX([19]第３表!$F$10:$Q$66,MATCH([19]設定!$D30,[19]第３表!$C$10:$C$66,0),9),[19]設定!$I30))</f>
        <v>19.8</v>
      </c>
      <c r="N54" s="56">
        <f>IF($D54="","",IF([19]設定!$I30="",INDEX([19]第３表!$F$10:$Q$66,MATCH([19]設定!$D30,[19]第３表!$C$10:$C$66,0),10),[19]設定!$I30))</f>
        <v>141.30000000000001</v>
      </c>
      <c r="O54" s="56">
        <f>IF($D54="","",IF([19]設定!$I30="",INDEX([19]第３表!$F$10:$Q$66,MATCH([19]設定!$D30,[19]第３表!$C$10:$C$66,0),11),[19]設定!$I30))</f>
        <v>135.9</v>
      </c>
      <c r="P54" s="57">
        <f>IF($D54="","",IF([19]設定!$I30="",INDEX([19]第３表!$F$10:$Q$66,MATCH([19]設定!$D30,[19]第３表!$C$10:$C$66,0),12),[19]設定!$I30))</f>
        <v>5.4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IF($D55="","",IF([19]設定!$I31="",INDEX([19]第３表!$F$10:$Q$66,MATCH([19]設定!$D31,[19]第３表!$C$10:$C$66,0),1),[19]設定!$I31))</f>
        <v>20.5</v>
      </c>
      <c r="F55" s="52">
        <f>IF($D55="","",IF([19]設定!$I31="",INDEX([19]第３表!$F$10:$Q$66,MATCH([19]設定!$D31,[19]第３表!$C$10:$C$66,0),2),[19]設定!$I31))</f>
        <v>158</v>
      </c>
      <c r="G55" s="52">
        <f>IF($D55="","",IF([19]設定!$I31="",INDEX([19]第３表!$F$10:$Q$66,MATCH([19]設定!$D31,[19]第３表!$C$10:$C$66,0),3),[19]設定!$I31))</f>
        <v>153.80000000000001</v>
      </c>
      <c r="H55" s="52">
        <f>IF($D55="","",IF([19]設定!$I31="",INDEX([19]第３表!$F$10:$Q$66,MATCH([19]設定!$D31,[19]第３表!$C$10:$C$66,0),4),[19]設定!$I31))</f>
        <v>4.2</v>
      </c>
      <c r="I55" s="54">
        <f>IF($D55="","",IF([19]設定!$I31="",INDEX([19]第３表!$F$10:$Q$66,MATCH([19]設定!$D31,[19]第３表!$C$10:$C$66,0),5),[19]設定!$I31))</f>
        <v>21.3</v>
      </c>
      <c r="J55" s="54">
        <f>IF($D55="","",IF([19]設定!$I31="",INDEX([19]第３表!$F$10:$Q$66,MATCH([19]設定!$D31,[19]第３表!$C$10:$C$66,0),6),[19]設定!$I31))</f>
        <v>171.2</v>
      </c>
      <c r="K55" s="54">
        <f>IF($D55="","",IF([19]設定!$I31="",INDEX([19]第３表!$F$10:$Q$66,MATCH([19]設定!$D31,[19]第３表!$C$10:$C$66,0),7),[19]設定!$I31))</f>
        <v>165.2</v>
      </c>
      <c r="L55" s="55">
        <f>IF($D55="","",IF([19]設定!$I31="",INDEX([19]第３表!$F$10:$Q$66,MATCH([19]設定!$D31,[19]第３表!$C$10:$C$66,0),8),[19]設定!$I31))</f>
        <v>6</v>
      </c>
      <c r="M55" s="56">
        <f>IF($D55="","",IF([19]設定!$I31="",INDEX([19]第３表!$F$10:$Q$66,MATCH([19]設定!$D31,[19]第３表!$C$10:$C$66,0),9),[19]設定!$I31))</f>
        <v>19.100000000000001</v>
      </c>
      <c r="N55" s="56">
        <f>IF($D55="","",IF([19]設定!$I31="",INDEX([19]第３表!$F$10:$Q$66,MATCH([19]設定!$D31,[19]第３表!$C$10:$C$66,0),10),[19]設定!$I31))</f>
        <v>134.6</v>
      </c>
      <c r="O55" s="56">
        <f>IF($D55="","",IF([19]設定!$I31="",INDEX([19]第３表!$F$10:$Q$66,MATCH([19]設定!$D31,[19]第３表!$C$10:$C$66,0),11),[19]設定!$I31))</f>
        <v>133.6</v>
      </c>
      <c r="P55" s="57">
        <f>IF($D55="","",IF([19]設定!$I31="",INDEX([19]第３表!$F$10:$Q$66,MATCH([19]設定!$D31,[19]第３表!$C$10:$C$66,0),12),[19]設定!$I31))</f>
        <v>1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IF($D56="","",IF([19]設定!$I32="",INDEX([19]第３表!$F$10:$Q$66,MATCH([19]設定!$D32,[19]第３表!$C$10:$C$66,0),1),[19]設定!$I32))</f>
        <v>19.5</v>
      </c>
      <c r="F56" s="52">
        <f>IF($D56="","",IF([19]設定!$I32="",INDEX([19]第３表!$F$10:$Q$66,MATCH([19]設定!$D32,[19]第３表!$C$10:$C$66,0),2),[19]設定!$I32))</f>
        <v>164.8</v>
      </c>
      <c r="G56" s="52">
        <f>IF($D56="","",IF([19]設定!$I32="",INDEX([19]第３表!$F$10:$Q$66,MATCH([19]設定!$D32,[19]第３表!$C$10:$C$66,0),3),[19]設定!$I32))</f>
        <v>150.30000000000001</v>
      </c>
      <c r="H56" s="53">
        <f>IF($D56="","",IF([19]設定!$I32="",INDEX([19]第３表!$F$10:$Q$66,MATCH([19]設定!$D32,[19]第３表!$C$10:$C$66,0),4),[19]設定!$I32))</f>
        <v>14.5</v>
      </c>
      <c r="I56" s="54">
        <f>IF($D56="","",IF([19]設定!$I32="",INDEX([19]第３表!$F$10:$Q$66,MATCH([19]設定!$D32,[19]第３表!$C$10:$C$66,0),5),[19]設定!$I32))</f>
        <v>19.399999999999999</v>
      </c>
      <c r="J56" s="54">
        <f>IF($D56="","",IF([19]設定!$I32="",INDEX([19]第３表!$F$10:$Q$66,MATCH([19]設定!$D32,[19]第３表!$C$10:$C$66,0),6),[19]設定!$I32))</f>
        <v>166.1</v>
      </c>
      <c r="K56" s="54">
        <f>IF($D56="","",IF([19]設定!$I32="",INDEX([19]第３表!$F$10:$Q$66,MATCH([19]設定!$D32,[19]第３表!$C$10:$C$66,0),7),[19]設定!$I32))</f>
        <v>150.5</v>
      </c>
      <c r="L56" s="55">
        <f>IF($D56="","",IF([19]設定!$I32="",INDEX([19]第３表!$F$10:$Q$66,MATCH([19]設定!$D32,[19]第３表!$C$10:$C$66,0),8),[19]設定!$I32))</f>
        <v>15.6</v>
      </c>
      <c r="M56" s="56">
        <f>IF($D56="","",IF([19]設定!$I32="",INDEX([19]第３表!$F$10:$Q$66,MATCH([19]設定!$D32,[19]第３表!$C$10:$C$66,0),9),[19]設定!$I32))</f>
        <v>19.5</v>
      </c>
      <c r="N56" s="56">
        <f>IF($D56="","",IF([19]設定!$I32="",INDEX([19]第３表!$F$10:$Q$66,MATCH([19]設定!$D32,[19]第３表!$C$10:$C$66,0),10),[19]設定!$I32))</f>
        <v>159.80000000000001</v>
      </c>
      <c r="O56" s="56">
        <f>IF($D56="","",IF([19]設定!$I32="",INDEX([19]第３表!$F$10:$Q$66,MATCH([19]設定!$D32,[19]第３表!$C$10:$C$66,0),11),[19]設定!$I32))</f>
        <v>149.6</v>
      </c>
      <c r="P56" s="57">
        <f>IF($D56="","",IF([19]設定!$I32="",INDEX([19]第３表!$F$10:$Q$66,MATCH([19]設定!$D32,[19]第３表!$C$10:$C$66,0),12),[19]設定!$I32))</f>
        <v>10.199999999999999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IF($D57="","",IF([19]設定!$I33="",INDEX([19]第３表!$F$10:$Q$66,MATCH([19]設定!$D33,[19]第３表!$C$10:$C$66,0),1),[19]設定!$I33))</f>
        <v>15.9</v>
      </c>
      <c r="F57" s="52">
        <f>IF($D57="","",IF([19]設定!$I33="",INDEX([19]第３表!$F$10:$Q$66,MATCH([19]設定!$D33,[19]第３表!$C$10:$C$66,0),2),[19]設定!$I33))</f>
        <v>106.3</v>
      </c>
      <c r="G57" s="52">
        <f>IF($D57="","",IF([19]設定!$I33="",INDEX([19]第３表!$F$10:$Q$66,MATCH([19]設定!$D33,[19]第３表!$C$10:$C$66,0),3),[19]設定!$I33))</f>
        <v>99.8</v>
      </c>
      <c r="H57" s="53">
        <f>IF($D57="","",IF([19]設定!$I33="",INDEX([19]第３表!$F$10:$Q$66,MATCH([19]設定!$D33,[19]第３表!$C$10:$C$66,0),4),[19]設定!$I33))</f>
        <v>6.5</v>
      </c>
      <c r="I57" s="54">
        <f>IF($D57="","",IF([19]設定!$I33="",INDEX([19]第３表!$F$10:$Q$66,MATCH([19]設定!$D33,[19]第３表!$C$10:$C$66,0),5),[19]設定!$I33))</f>
        <v>16.7</v>
      </c>
      <c r="J57" s="54">
        <f>IF($D57="","",IF([19]設定!$I33="",INDEX([19]第３表!$F$10:$Q$66,MATCH([19]設定!$D33,[19]第３表!$C$10:$C$66,0),6),[19]設定!$I33))</f>
        <v>122.5</v>
      </c>
      <c r="K57" s="54">
        <f>IF($D57="","",IF([19]設定!$I33="",INDEX([19]第３表!$F$10:$Q$66,MATCH([19]設定!$D33,[19]第３表!$C$10:$C$66,0),7),[19]設定!$I33))</f>
        <v>112.3</v>
      </c>
      <c r="L57" s="55">
        <f>IF($D57="","",IF([19]設定!$I33="",INDEX([19]第３表!$F$10:$Q$66,MATCH([19]設定!$D33,[19]第３表!$C$10:$C$66,0),8),[19]設定!$I33))</f>
        <v>10.199999999999999</v>
      </c>
      <c r="M57" s="56">
        <f>IF($D57="","",IF([19]設定!$I33="",INDEX([19]第３表!$F$10:$Q$66,MATCH([19]設定!$D33,[19]第３表!$C$10:$C$66,0),9),[19]設定!$I33))</f>
        <v>15.4</v>
      </c>
      <c r="N57" s="56">
        <f>IF($D57="","",IF([19]設定!$I33="",INDEX([19]第３表!$F$10:$Q$66,MATCH([19]設定!$D33,[19]第３表!$C$10:$C$66,0),10),[19]設定!$I33))</f>
        <v>95.7</v>
      </c>
      <c r="O57" s="56">
        <f>IF($D57="","",IF([19]設定!$I33="",INDEX([19]第３表!$F$10:$Q$66,MATCH([19]設定!$D33,[19]第３表!$C$10:$C$66,0),11),[19]設定!$I33))</f>
        <v>91.6</v>
      </c>
      <c r="P57" s="57">
        <f>IF($D57="","",IF([19]設定!$I33="",INDEX([19]第３表!$F$10:$Q$66,MATCH([19]設定!$D33,[19]第３表!$C$10:$C$66,0),12),[19]設定!$I33))</f>
        <v>4.0999999999999996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f>IF($D58="","",IF([19]設定!$I34="",INDEX([19]第３表!$F$10:$Q$66,MATCH([19]設定!$D34,[19]第３表!$C$10:$C$66,0),1),[19]設定!$I34))</f>
        <v>16.899999999999999</v>
      </c>
      <c r="F58" s="52">
        <f>IF($D58="","",IF([19]設定!$I34="",INDEX([19]第３表!$F$10:$Q$66,MATCH([19]設定!$D34,[19]第３表!$C$10:$C$66,0),2),[19]設定!$I34))</f>
        <v>140.6</v>
      </c>
      <c r="G58" s="52">
        <f>IF($D58="","",IF([19]設定!$I34="",INDEX([19]第３表!$F$10:$Q$66,MATCH([19]設定!$D34,[19]第３表!$C$10:$C$66,0),3),[19]設定!$I34))</f>
        <v>132.1</v>
      </c>
      <c r="H58" s="53">
        <f>IF($D58="","",IF([19]設定!$I34="",INDEX([19]第３表!$F$10:$Q$66,MATCH([19]設定!$D34,[19]第３表!$C$10:$C$66,0),4),[19]設定!$I34))</f>
        <v>8.5</v>
      </c>
      <c r="I58" s="54">
        <f>IF($D58="","",IF([19]設定!$I34="",INDEX([19]第３表!$F$10:$Q$66,MATCH([19]設定!$D34,[19]第３表!$C$10:$C$66,0),5),[19]設定!$I34))</f>
        <v>16.899999999999999</v>
      </c>
      <c r="J58" s="54">
        <f>IF($D58="","",IF([19]設定!$I34="",INDEX([19]第３表!$F$10:$Q$66,MATCH([19]設定!$D34,[19]第３表!$C$10:$C$66,0),6),[19]設定!$I34))</f>
        <v>145.80000000000001</v>
      </c>
      <c r="K58" s="54">
        <f>IF($D58="","",IF([19]設定!$I34="",INDEX([19]第３表!$F$10:$Q$66,MATCH([19]設定!$D34,[19]第３表!$C$10:$C$66,0),7),[19]設定!$I34))</f>
        <v>135.69999999999999</v>
      </c>
      <c r="L58" s="55">
        <f>IF($D58="","",IF([19]設定!$I34="",INDEX([19]第３表!$F$10:$Q$66,MATCH([19]設定!$D34,[19]第３表!$C$10:$C$66,0),8),[19]設定!$I34))</f>
        <v>10.1</v>
      </c>
      <c r="M58" s="56">
        <f>IF($D58="","",IF([19]設定!$I34="",INDEX([19]第３表!$F$10:$Q$66,MATCH([19]設定!$D34,[19]第３表!$C$10:$C$66,0),9),[19]設定!$I34))</f>
        <v>16.8</v>
      </c>
      <c r="N58" s="56">
        <f>IF($D58="","",IF([19]設定!$I34="",INDEX([19]第３表!$F$10:$Q$66,MATCH([19]設定!$D34,[19]第３表!$C$10:$C$66,0),10),[19]設定!$I34))</f>
        <v>132.1</v>
      </c>
      <c r="O58" s="56">
        <f>IF($D58="","",IF([19]設定!$I34="",INDEX([19]第３表!$F$10:$Q$66,MATCH([19]設定!$D34,[19]第３表!$C$10:$C$66,0),11),[19]設定!$I34))</f>
        <v>126.3</v>
      </c>
      <c r="P58" s="57">
        <f>IF($D58="","",IF([19]設定!$I34="",INDEX([19]第３表!$F$10:$Q$66,MATCH([19]設定!$D34,[19]第３表!$C$10:$C$66,0),12),[19]設定!$I34))</f>
        <v>5.8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IF($D59="","",IF([19]設定!$I35="",INDEX([19]第３表!$F$10:$Q$66,MATCH([19]設定!$D35,[19]第３表!$C$10:$C$66,0),1),[19]設定!$I35))</f>
        <v>19.100000000000001</v>
      </c>
      <c r="F59" s="52">
        <f>IF($D59="","",IF([19]設定!$I35="",INDEX([19]第３表!$F$10:$Q$66,MATCH([19]設定!$D35,[19]第３表!$C$10:$C$66,0),2),[19]設定!$I35))</f>
        <v>170.2</v>
      </c>
      <c r="G59" s="52">
        <f>IF($D59="","",IF([19]設定!$I35="",INDEX([19]第３表!$F$10:$Q$66,MATCH([19]設定!$D35,[19]第３表!$C$10:$C$66,0),3),[19]設定!$I35))</f>
        <v>140.30000000000001</v>
      </c>
      <c r="H59" s="53">
        <f>IF($D59="","",IF([19]設定!$I35="",INDEX([19]第３表!$F$10:$Q$66,MATCH([19]設定!$D35,[19]第３表!$C$10:$C$66,0),4),[19]設定!$I35))</f>
        <v>29.9</v>
      </c>
      <c r="I59" s="54">
        <f>IF($D59="","",IF([19]設定!$I35="",INDEX([19]第３表!$F$10:$Q$66,MATCH([19]設定!$D35,[19]第３表!$C$10:$C$66,0),5),[19]設定!$I35))</f>
        <v>19.399999999999999</v>
      </c>
      <c r="J59" s="54">
        <f>IF($D59="","",IF([19]設定!$I35="",INDEX([19]第３表!$F$10:$Q$66,MATCH([19]設定!$D35,[19]第３表!$C$10:$C$66,0),6),[19]設定!$I35))</f>
        <v>182.2</v>
      </c>
      <c r="K59" s="54">
        <f>IF($D59="","",IF([19]設定!$I35="",INDEX([19]第３表!$F$10:$Q$66,MATCH([19]設定!$D35,[19]第３表!$C$10:$C$66,0),7),[19]設定!$I35))</f>
        <v>144.9</v>
      </c>
      <c r="L59" s="55">
        <f>IF($D59="","",IF([19]設定!$I35="",INDEX([19]第３表!$F$10:$Q$66,MATCH([19]設定!$D35,[19]第３表!$C$10:$C$66,0),8),[19]設定!$I35))</f>
        <v>37.299999999999997</v>
      </c>
      <c r="M59" s="56">
        <f>IF($D59="","",IF([19]設定!$I35="",INDEX([19]第３表!$F$10:$Q$66,MATCH([19]設定!$D35,[19]第３表!$C$10:$C$66,0),9),[19]設定!$I35))</f>
        <v>18.899999999999999</v>
      </c>
      <c r="N59" s="56">
        <f>IF($D59="","",IF([19]設定!$I35="",INDEX([19]第３表!$F$10:$Q$66,MATCH([19]設定!$D35,[19]第３表!$C$10:$C$66,0),10),[19]設定!$I35))</f>
        <v>159.19999999999999</v>
      </c>
      <c r="O59" s="56">
        <f>IF($D59="","",IF([19]設定!$I35="",INDEX([19]第３表!$F$10:$Q$66,MATCH([19]設定!$D35,[19]第３表!$C$10:$C$66,0),11),[19]設定!$I35))</f>
        <v>136.1</v>
      </c>
      <c r="P59" s="57">
        <f>IF($D59="","",IF([19]設定!$I35="",INDEX([19]第３表!$F$10:$Q$66,MATCH([19]設定!$D35,[19]第３表!$C$10:$C$66,0),12),[19]設定!$I35))</f>
        <v>23.1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IF($D60="","",IF([19]設定!$I36="",INDEX([19]第３表!$F$10:$Q$66,MATCH([19]設定!$D36,[19]第３表!$C$10:$C$66,0),1),[19]設定!$I36))</f>
        <v>19.100000000000001</v>
      </c>
      <c r="F60" s="52">
        <f>IF($D60="","",IF([19]設定!$I36="",INDEX([19]第３表!$F$10:$Q$66,MATCH([19]設定!$D36,[19]第３表!$C$10:$C$66,0),2),[19]設定!$I36))</f>
        <v>142.9</v>
      </c>
      <c r="G60" s="52">
        <f>IF($D60="","",IF([19]設定!$I36="",INDEX([19]第３表!$F$10:$Q$66,MATCH([19]設定!$D36,[19]第３表!$C$10:$C$66,0),3),[19]設定!$I36))</f>
        <v>138.9</v>
      </c>
      <c r="H60" s="53">
        <f>IF($D60="","",IF([19]設定!$I36="",INDEX([19]第３表!$F$10:$Q$66,MATCH([19]設定!$D36,[19]第３表!$C$10:$C$66,0),4),[19]設定!$I36))</f>
        <v>4</v>
      </c>
      <c r="I60" s="54">
        <f>IF($D60="","",IF([19]設定!$I36="",INDEX([19]第３表!$F$10:$Q$66,MATCH([19]設定!$D36,[19]第３表!$C$10:$C$66,0),5),[19]設定!$I36))</f>
        <v>19.399999999999999</v>
      </c>
      <c r="J60" s="54">
        <f>IF($D60="","",IF([19]設定!$I36="",INDEX([19]第３表!$F$10:$Q$66,MATCH([19]設定!$D36,[19]第３表!$C$10:$C$66,0),6),[19]設定!$I36))</f>
        <v>149.69999999999999</v>
      </c>
      <c r="K60" s="54">
        <f>IF($D60="","",IF([19]設定!$I36="",INDEX([19]第３表!$F$10:$Q$66,MATCH([19]設定!$D36,[19]第３表!$C$10:$C$66,0),7),[19]設定!$I36))</f>
        <v>145</v>
      </c>
      <c r="L60" s="55">
        <f>IF($D60="","",IF([19]設定!$I36="",INDEX([19]第３表!$F$10:$Q$66,MATCH([19]設定!$D36,[19]第３表!$C$10:$C$66,0),8),[19]設定!$I36))</f>
        <v>4.7</v>
      </c>
      <c r="M60" s="56">
        <f>IF($D60="","",IF([19]設定!$I36="",INDEX([19]第３表!$F$10:$Q$66,MATCH([19]設定!$D36,[19]第３表!$C$10:$C$66,0),9),[19]設定!$I36))</f>
        <v>18.899999999999999</v>
      </c>
      <c r="N60" s="56">
        <f>IF($D60="","",IF([19]設定!$I36="",INDEX([19]第３表!$F$10:$Q$66,MATCH([19]設定!$D36,[19]第３表!$C$10:$C$66,0),10),[19]設定!$I36))</f>
        <v>140.30000000000001</v>
      </c>
      <c r="O60" s="56">
        <f>IF($D60="","",IF([19]設定!$I36="",INDEX([19]第３表!$F$10:$Q$66,MATCH([19]設定!$D36,[19]第３表!$C$10:$C$66,0),11),[19]設定!$I36))</f>
        <v>136.6</v>
      </c>
      <c r="P60" s="57">
        <f>IF($D60="","",IF([19]設定!$I36="",INDEX([19]第３表!$F$10:$Q$66,MATCH([19]設定!$D36,[19]第３表!$C$10:$C$66,0),12),[19]設定!$I36))</f>
        <v>3.7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IF($D61="","",IF([19]設定!$I37="",INDEX([19]第３表!$F$10:$Q$66,MATCH([19]設定!$D37,[19]第３表!$C$10:$C$66,0),1),[19]設定!$I37))</f>
        <v>19.2</v>
      </c>
      <c r="F61" s="52">
        <f>IF($D61="","",IF([19]設定!$I37="",INDEX([19]第３表!$F$10:$Q$66,MATCH([19]設定!$D37,[19]第３表!$C$10:$C$66,0),2),[19]設定!$I37))</f>
        <v>151.69999999999999</v>
      </c>
      <c r="G61" s="52">
        <f>IF($D61="","",IF([19]設定!$I37="",INDEX([19]第３表!$F$10:$Q$66,MATCH([19]設定!$D37,[19]第３表!$C$10:$C$66,0),3),[19]設定!$I37))</f>
        <v>148</v>
      </c>
      <c r="H61" s="53">
        <f>IF($D61="","",IF([19]設定!$I37="",INDEX([19]第３表!$F$10:$Q$66,MATCH([19]設定!$D37,[19]第３表!$C$10:$C$66,0),4),[19]設定!$I37))</f>
        <v>3.7</v>
      </c>
      <c r="I61" s="54">
        <f>IF($D61="","",IF([19]設定!$I37="",INDEX([19]第３表!$F$10:$Q$66,MATCH([19]設定!$D37,[19]第３表!$C$10:$C$66,0),5),[19]設定!$I37))</f>
        <v>19.7</v>
      </c>
      <c r="J61" s="54">
        <f>IF($D61="","",IF([19]設定!$I37="",INDEX([19]第３表!$F$10:$Q$66,MATCH([19]設定!$D37,[19]第３表!$C$10:$C$66,0),6),[19]設定!$I37))</f>
        <v>159.4</v>
      </c>
      <c r="K61" s="54">
        <f>IF($D61="","",IF([19]設定!$I37="",INDEX([19]第３表!$F$10:$Q$66,MATCH([19]設定!$D37,[19]第３表!$C$10:$C$66,0),7),[19]設定!$I37))</f>
        <v>154.6</v>
      </c>
      <c r="L61" s="55">
        <f>IF($D61="","",IF([19]設定!$I37="",INDEX([19]第３表!$F$10:$Q$66,MATCH([19]設定!$D37,[19]第３表!$C$10:$C$66,0),8),[19]設定!$I37))</f>
        <v>4.8</v>
      </c>
      <c r="M61" s="56">
        <f>IF($D61="","",IF([19]設定!$I37="",INDEX([19]第３表!$F$10:$Q$66,MATCH([19]設定!$D37,[19]第３表!$C$10:$C$66,0),9),[19]設定!$I37))</f>
        <v>18.399999999999999</v>
      </c>
      <c r="N61" s="56">
        <f>IF($D61="","",IF([19]設定!$I37="",INDEX([19]第３表!$F$10:$Q$66,MATCH([19]設定!$D37,[19]第３表!$C$10:$C$66,0),10),[19]設定!$I37))</f>
        <v>139.9</v>
      </c>
      <c r="O61" s="56">
        <f>IF($D61="","",IF([19]設定!$I37="",INDEX([19]第３表!$F$10:$Q$66,MATCH([19]設定!$D37,[19]第３表!$C$10:$C$66,0),11),[19]設定!$I37))</f>
        <v>137.80000000000001</v>
      </c>
      <c r="P61" s="57">
        <f>IF($D61="","",IF([19]設定!$I37="",INDEX([19]第３表!$F$10:$Q$66,MATCH([19]設定!$D37,[19]第３表!$C$10:$C$66,0),12),[19]設定!$I37))</f>
        <v>2.1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IF($D62="","",IF([19]設定!$I38="",INDEX([19]第３表!$F$10:$Q$66,MATCH([19]設定!$D38,[19]第３表!$C$10:$C$66,0),1),[19]設定!$I38))</f>
        <v>18.600000000000001</v>
      </c>
      <c r="F62" s="52">
        <f>IF($D62="","",IF([19]設定!$I38="",INDEX([19]第３表!$F$10:$Q$66,MATCH([19]設定!$D38,[19]第３表!$C$10:$C$66,0),2),[19]設定!$I38))</f>
        <v>142.19999999999999</v>
      </c>
      <c r="G62" s="52">
        <f>IF($D62="","",IF([19]設定!$I38="",INDEX([19]第３表!$F$10:$Q$66,MATCH([19]設定!$D38,[19]第３表!$C$10:$C$66,0),3),[19]設定!$I38))</f>
        <v>132.6</v>
      </c>
      <c r="H62" s="53">
        <f>IF($D62="","",IF([19]設定!$I38="",INDEX([19]第３表!$F$10:$Q$66,MATCH([19]設定!$D38,[19]第３表!$C$10:$C$66,0),4),[19]設定!$I38))</f>
        <v>9.6</v>
      </c>
      <c r="I62" s="54">
        <f>IF($D62="","",IF([19]設定!$I38="",INDEX([19]第３表!$F$10:$Q$66,MATCH([19]設定!$D38,[19]第３表!$C$10:$C$66,0),5),[19]設定!$I38))</f>
        <v>18.7</v>
      </c>
      <c r="J62" s="54">
        <f>IF($D62="","",IF([19]設定!$I38="",INDEX([19]第３表!$F$10:$Q$66,MATCH([19]設定!$D38,[19]第３表!$C$10:$C$66,0),6),[19]設定!$I38))</f>
        <v>156.30000000000001</v>
      </c>
      <c r="K62" s="54">
        <f>IF($D62="","",IF([19]設定!$I38="",INDEX([19]第３表!$F$10:$Q$66,MATCH([19]設定!$D38,[19]第３表!$C$10:$C$66,0),7),[19]設定!$I38))</f>
        <v>142.5</v>
      </c>
      <c r="L62" s="55">
        <f>IF($D62="","",IF([19]設定!$I38="",INDEX([19]第３表!$F$10:$Q$66,MATCH([19]設定!$D38,[19]第３表!$C$10:$C$66,0),8),[19]設定!$I38))</f>
        <v>13.8</v>
      </c>
      <c r="M62" s="56">
        <f>IF($D62="","",IF([19]設定!$I38="",INDEX([19]第３表!$F$10:$Q$66,MATCH([19]設定!$D38,[19]第３表!$C$10:$C$66,0),9),[19]設定!$I38))</f>
        <v>18.3</v>
      </c>
      <c r="N62" s="56">
        <f>IF($D62="","",IF([19]設定!$I38="",INDEX([19]第３表!$F$10:$Q$66,MATCH([19]設定!$D38,[19]第３表!$C$10:$C$66,0),10),[19]設定!$I38))</f>
        <v>126.1</v>
      </c>
      <c r="O62" s="56">
        <f>IF($D62="","",IF([19]設定!$I38="",INDEX([19]第３表!$F$10:$Q$66,MATCH([19]設定!$D38,[19]第３表!$C$10:$C$66,0),11),[19]設定!$I38))</f>
        <v>121.3</v>
      </c>
      <c r="P62" s="57">
        <f>IF($D62="","",IF([19]設定!$I38="",INDEX([19]第３表!$F$10:$Q$66,MATCH([19]設定!$D38,[19]第３表!$C$10:$C$66,0),12),[19]設定!$I38))</f>
        <v>4.8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IF($D63="","",IF([19]設定!$I39="",INDEX([19]第３表!$F$10:$Q$66,MATCH([19]設定!$D39,[19]第３表!$C$10:$C$66,0),1),[19]設定!$I39))</f>
        <v>19.600000000000001</v>
      </c>
      <c r="F63" s="48">
        <f>IF($D63="","",IF([19]設定!$I39="",INDEX([19]第３表!$F$10:$Q$66,MATCH([19]設定!$D39,[19]第３表!$C$10:$C$66,0),2),[19]設定!$I39))</f>
        <v>156.5</v>
      </c>
      <c r="G63" s="48">
        <f>IF($D63="","",IF([19]設定!$I39="",INDEX([19]第３表!$F$10:$Q$66,MATCH([19]設定!$D39,[19]第３表!$C$10:$C$66,0),3),[19]設定!$I39))</f>
        <v>146</v>
      </c>
      <c r="H63" s="64">
        <f>IF($D63="","",IF([19]設定!$I39="",INDEX([19]第３表!$F$10:$Q$66,MATCH([19]設定!$D39,[19]第３表!$C$10:$C$66,0),4),[19]設定!$I39))</f>
        <v>10.5</v>
      </c>
      <c r="I63" s="48">
        <f>IF($D63="","",IF([19]設定!$I39="",INDEX([19]第３表!$F$10:$Q$66,MATCH([19]設定!$D39,[19]第３表!$C$10:$C$66,0),5),[19]設定!$I39))</f>
        <v>19.8</v>
      </c>
      <c r="J63" s="48">
        <f>IF($D63="","",IF([19]設定!$I39="",INDEX([19]第３表!$F$10:$Q$66,MATCH([19]設定!$D39,[19]第３表!$C$10:$C$66,0),6),[19]設定!$I39))</f>
        <v>166</v>
      </c>
      <c r="K63" s="48">
        <f>IF($D63="","",IF([19]設定!$I39="",INDEX([19]第３表!$F$10:$Q$66,MATCH([19]設定!$D39,[19]第３表!$C$10:$C$66,0),7),[19]設定!$I39))</f>
        <v>151.80000000000001</v>
      </c>
      <c r="L63" s="64">
        <f>IF($D63="","",IF([19]設定!$I39="",INDEX([19]第３表!$F$10:$Q$66,MATCH([19]設定!$D39,[19]第３表!$C$10:$C$66,0),8),[19]設定!$I39))</f>
        <v>14.2</v>
      </c>
      <c r="M63" s="48">
        <f>IF($D63="","",IF([19]設定!$I39="",INDEX([19]第３表!$F$10:$Q$66,MATCH([19]設定!$D39,[19]第３表!$C$10:$C$66,0),9),[19]設定!$I39))</f>
        <v>19.399999999999999</v>
      </c>
      <c r="N63" s="48">
        <f>IF($D63="","",IF([19]設定!$I39="",INDEX([19]第３表!$F$10:$Q$66,MATCH([19]設定!$D39,[19]第３表!$C$10:$C$66,0),10),[19]設定!$I39))</f>
        <v>148.4</v>
      </c>
      <c r="O63" s="48">
        <f>IF($D63="","",IF([19]設定!$I39="",INDEX([19]第３表!$F$10:$Q$66,MATCH([19]設定!$D39,[19]第３表!$C$10:$C$66,0),11),[19]設定!$I39))</f>
        <v>141.1</v>
      </c>
      <c r="P63" s="64">
        <f>IF($D63="","",IF([19]設定!$I39="",INDEX([19]第３表!$F$10:$Q$66,MATCH([19]設定!$D39,[19]第３表!$C$10:$C$66,0),12),[19]設定!$I39))</f>
        <v>7.3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IF($D64="","",IF([19]設定!$I40="",INDEX([19]第３表!$F$10:$Q$66,MATCH([19]設定!$D40,[19]第３表!$C$10:$C$66,0),1),[19]設定!$I40))</f>
        <v>20</v>
      </c>
      <c r="F64" s="52">
        <f>IF($D64="","",IF([19]設定!$I40="",INDEX([19]第３表!$F$10:$Q$66,MATCH([19]設定!$D40,[19]第３表!$C$10:$C$66,0),2),[19]設定!$I40))</f>
        <v>160.69999999999999</v>
      </c>
      <c r="G64" s="52">
        <f>IF($D64="","",IF([19]設定!$I40="",INDEX([19]第３表!$F$10:$Q$66,MATCH([19]設定!$D40,[19]第３表!$C$10:$C$66,0),3),[19]設定!$I40))</f>
        <v>148.19999999999999</v>
      </c>
      <c r="H64" s="55">
        <f>IF($D64="","",IF([19]設定!$I40="",INDEX([19]第３表!$F$10:$Q$66,MATCH([19]設定!$D40,[19]第３表!$C$10:$C$66,0),4),[19]設定!$I40))</f>
        <v>12.5</v>
      </c>
      <c r="I64" s="52">
        <f>IF($D64="","",IF([19]設定!$I40="",INDEX([19]第３表!$F$10:$Q$66,MATCH([19]設定!$D40,[19]第３表!$C$10:$C$66,0),5),[19]設定!$I40))</f>
        <v>19.399999999999999</v>
      </c>
      <c r="J64" s="52">
        <f>IF($D64="","",IF([19]設定!$I40="",INDEX([19]第３表!$F$10:$Q$66,MATCH([19]設定!$D40,[19]第３表!$C$10:$C$66,0),6),[19]設定!$I40))</f>
        <v>158.9</v>
      </c>
      <c r="K64" s="52">
        <f>IF($D64="","",IF([19]設定!$I40="",INDEX([19]第３表!$F$10:$Q$66,MATCH([19]設定!$D40,[19]第３表!$C$10:$C$66,0),7),[19]設定!$I40))</f>
        <v>144.69999999999999</v>
      </c>
      <c r="L64" s="55">
        <f>IF($D64="","",IF([19]設定!$I40="",INDEX([19]第３表!$F$10:$Q$66,MATCH([19]設定!$D40,[19]第３表!$C$10:$C$66,0),8),[19]設定!$I40))</f>
        <v>14.2</v>
      </c>
      <c r="M64" s="52">
        <f>IF($D64="","",IF([19]設定!$I40="",INDEX([19]第３表!$F$10:$Q$66,MATCH([19]設定!$D40,[19]第３表!$C$10:$C$66,0),9),[19]設定!$I40))</f>
        <v>20.399999999999999</v>
      </c>
      <c r="N64" s="52">
        <f>IF($D64="","",IF([19]設定!$I40="",INDEX([19]第３表!$F$10:$Q$66,MATCH([19]設定!$D40,[19]第３表!$C$10:$C$66,0),10),[19]設定!$I40))</f>
        <v>162</v>
      </c>
      <c r="O64" s="52">
        <f>IF($D64="","",IF([19]設定!$I40="",INDEX([19]第３表!$F$10:$Q$66,MATCH([19]設定!$D40,[19]第３表!$C$10:$C$66,0),11),[19]設定!$I40))</f>
        <v>150.69999999999999</v>
      </c>
      <c r="P64" s="55">
        <f>IF($D64="","",IF([19]設定!$I40="",INDEX([19]第３表!$F$10:$Q$66,MATCH([19]設定!$D40,[19]第３表!$C$10:$C$66,0),12),[19]設定!$I40))</f>
        <v>11.3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IF($D65="","",IF([19]設定!$I41="",INDEX([19]第３表!$F$10:$Q$66,MATCH([19]設定!$D41,[19]第３表!$C$10:$C$66,0),1),[19]設定!$I41))</f>
        <v>19.3</v>
      </c>
      <c r="F65" s="52">
        <f>IF($D65="","",IF([19]設定!$I41="",INDEX([19]第３表!$F$10:$Q$66,MATCH([19]設定!$D41,[19]第３表!$C$10:$C$66,0),2),[19]設定!$I41))</f>
        <v>156.30000000000001</v>
      </c>
      <c r="G65" s="52">
        <f>IF($D65="","",IF([19]設定!$I41="",INDEX([19]第３表!$F$10:$Q$66,MATCH([19]設定!$D41,[19]第３表!$C$10:$C$66,0),3),[19]設定!$I41))</f>
        <v>144.4</v>
      </c>
      <c r="H65" s="55">
        <f>IF($D65="","",IF([19]設定!$I41="",INDEX([19]第３表!$F$10:$Q$66,MATCH([19]設定!$D41,[19]第３表!$C$10:$C$66,0),4),[19]設定!$I41))</f>
        <v>11.9</v>
      </c>
      <c r="I65" s="52">
        <f>IF($D65="","",IF([19]設定!$I41="",INDEX([19]第３表!$F$10:$Q$66,MATCH([19]設定!$D41,[19]第３表!$C$10:$C$66,0),5),[19]設定!$I41))</f>
        <v>18.899999999999999</v>
      </c>
      <c r="J65" s="52">
        <f>IF($D65="","",IF([19]設定!$I41="",INDEX([19]第３表!$F$10:$Q$66,MATCH([19]設定!$D41,[19]第３表!$C$10:$C$66,0),6),[19]設定!$I41))</f>
        <v>160.9</v>
      </c>
      <c r="K65" s="52">
        <f>IF($D65="","",IF([19]設定!$I41="",INDEX([19]第３表!$F$10:$Q$66,MATCH([19]設定!$D41,[19]第３表!$C$10:$C$66,0),7),[19]設定!$I41))</f>
        <v>146.9</v>
      </c>
      <c r="L65" s="55">
        <f>IF($D65="","",IF([19]設定!$I41="",INDEX([19]第３表!$F$10:$Q$66,MATCH([19]設定!$D41,[19]第３表!$C$10:$C$66,0),8),[19]設定!$I41))</f>
        <v>14</v>
      </c>
      <c r="M65" s="52">
        <f>IF($D65="","",IF([19]設定!$I41="",INDEX([19]第３表!$F$10:$Q$66,MATCH([19]設定!$D41,[19]第３表!$C$10:$C$66,0),9),[19]設定!$I41))</f>
        <v>20.9</v>
      </c>
      <c r="N65" s="52">
        <f>IF($D65="","",IF([19]設定!$I41="",INDEX([19]第３表!$F$10:$Q$66,MATCH([19]設定!$D41,[19]第３表!$C$10:$C$66,0),10),[19]設定!$I41))</f>
        <v>138.6</v>
      </c>
      <c r="O65" s="52">
        <f>IF($D65="","",IF([19]設定!$I41="",INDEX([19]第３表!$F$10:$Q$66,MATCH([19]設定!$D41,[19]第３表!$C$10:$C$66,0),11),[19]設定!$I41))</f>
        <v>134.69999999999999</v>
      </c>
      <c r="P65" s="55">
        <f>IF($D65="","",IF([19]設定!$I41="",INDEX([19]第３表!$F$10:$Q$66,MATCH([19]設定!$D41,[19]第３表!$C$10:$C$66,0),12),[19]設定!$I41))</f>
        <v>3.9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IF($D66="","",IF([19]設定!$I42="",INDEX([19]第３表!$F$10:$Q$66,MATCH([19]設定!$D42,[19]第３表!$C$10:$C$66,0),1),[19]設定!$I42))</f>
        <v>x</v>
      </c>
      <c r="F66" s="52" t="str">
        <f>IF($D66="","",IF([19]設定!$I42="",INDEX([19]第３表!$F$10:$Q$66,MATCH([19]設定!$D42,[19]第３表!$C$10:$C$66,0),2),[19]設定!$I42))</f>
        <v>x</v>
      </c>
      <c r="G66" s="52" t="str">
        <f>IF($D66="","",IF([19]設定!$I42="",INDEX([19]第３表!$F$10:$Q$66,MATCH([19]設定!$D42,[19]第３表!$C$10:$C$66,0),3),[19]設定!$I42))</f>
        <v>x</v>
      </c>
      <c r="H66" s="55" t="str">
        <f>IF($D66="","",IF([19]設定!$I42="",INDEX([19]第３表!$F$10:$Q$66,MATCH([19]設定!$D42,[19]第３表!$C$10:$C$66,0),4),[19]設定!$I42))</f>
        <v>x</v>
      </c>
      <c r="I66" s="52" t="str">
        <f>IF($D66="","",IF([19]設定!$I42="",INDEX([19]第３表!$F$10:$Q$66,MATCH([19]設定!$D42,[19]第３表!$C$10:$C$66,0),5),[19]設定!$I42))</f>
        <v>x</v>
      </c>
      <c r="J66" s="52" t="str">
        <f>IF($D66="","",IF([19]設定!$I42="",INDEX([19]第３表!$F$10:$Q$66,MATCH([19]設定!$D42,[19]第３表!$C$10:$C$66,0),6),[19]設定!$I42))</f>
        <v>x</v>
      </c>
      <c r="K66" s="52" t="str">
        <f>IF($D66="","",IF([19]設定!$I42="",INDEX([19]第３表!$F$10:$Q$66,MATCH([19]設定!$D42,[19]第３表!$C$10:$C$66,0),7),[19]設定!$I42))</f>
        <v>x</v>
      </c>
      <c r="L66" s="55" t="str">
        <f>IF($D66="","",IF([19]設定!$I42="",INDEX([19]第３表!$F$10:$Q$66,MATCH([19]設定!$D42,[19]第３表!$C$10:$C$66,0),8),[19]設定!$I42))</f>
        <v>x</v>
      </c>
      <c r="M66" s="52" t="str">
        <f>IF($D66="","",IF([19]設定!$I42="",INDEX([19]第３表!$F$10:$Q$66,MATCH([19]設定!$D42,[19]第３表!$C$10:$C$66,0),9),[19]設定!$I42))</f>
        <v>x</v>
      </c>
      <c r="N66" s="52" t="str">
        <f>IF($D66="","",IF([19]設定!$I42="",INDEX([19]第３表!$F$10:$Q$66,MATCH([19]設定!$D42,[19]第３表!$C$10:$C$66,0),10),[19]設定!$I42))</f>
        <v>x</v>
      </c>
      <c r="O66" s="52" t="str">
        <f>IF($D66="","",IF([19]設定!$I42="",INDEX([19]第３表!$F$10:$Q$66,MATCH([19]設定!$D42,[19]第３表!$C$10:$C$66,0),11),[19]設定!$I42))</f>
        <v>x</v>
      </c>
      <c r="P66" s="55" t="str">
        <f>IF($D66="","",IF([19]設定!$I42="",INDEX([19]第３表!$F$10:$Q$66,MATCH([19]設定!$D42,[19]第３表!$C$10:$C$66,0),12),[19]設定!$I42))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>
        <f>IF($D67="","",IF([19]設定!$I43="",INDEX([19]第３表!$F$10:$Q$66,MATCH([19]設定!$D43,[19]第３表!$C$10:$C$66,0),1),[19]設定!$I43))</f>
        <v>17.899999999999999</v>
      </c>
      <c r="F67" s="52">
        <f>IF($D67="","",IF([19]設定!$I43="",INDEX([19]第３表!$F$10:$Q$66,MATCH([19]設定!$D43,[19]第３表!$C$10:$C$66,0),2),[19]設定!$I43))</f>
        <v>126.5</v>
      </c>
      <c r="G67" s="52">
        <f>IF($D67="","",IF([19]設定!$I43="",INDEX([19]第３表!$F$10:$Q$66,MATCH([19]設定!$D43,[19]第３表!$C$10:$C$66,0),3),[19]設定!$I43))</f>
        <v>118</v>
      </c>
      <c r="H67" s="55">
        <f>IF($D67="","",IF([19]設定!$I43="",INDEX([19]第３表!$F$10:$Q$66,MATCH([19]設定!$D43,[19]第３表!$C$10:$C$66,0),4),[19]設定!$I43))</f>
        <v>8.5</v>
      </c>
      <c r="I67" s="52">
        <f>IF($D67="","",IF([19]設定!$I43="",INDEX([19]第３表!$F$10:$Q$66,MATCH([19]設定!$D43,[19]第３表!$C$10:$C$66,0),5),[19]設定!$I43))</f>
        <v>18.600000000000001</v>
      </c>
      <c r="J67" s="52">
        <f>IF($D67="","",IF([19]設定!$I43="",INDEX([19]第３表!$F$10:$Q$66,MATCH([19]設定!$D43,[19]第３表!$C$10:$C$66,0),6),[19]設定!$I43))</f>
        <v>134.4</v>
      </c>
      <c r="K67" s="52">
        <f>IF($D67="","",IF([19]設定!$I43="",INDEX([19]第３表!$F$10:$Q$66,MATCH([19]設定!$D43,[19]第３表!$C$10:$C$66,0),7),[19]設定!$I43))</f>
        <v>124.3</v>
      </c>
      <c r="L67" s="55">
        <f>IF($D67="","",IF([19]設定!$I43="",INDEX([19]第３表!$F$10:$Q$66,MATCH([19]設定!$D43,[19]第３表!$C$10:$C$66,0),8),[19]設定!$I43))</f>
        <v>10.1</v>
      </c>
      <c r="M67" s="52">
        <f>IF($D67="","",IF([19]設定!$I43="",INDEX([19]第３表!$F$10:$Q$66,MATCH([19]設定!$D43,[19]第３表!$C$10:$C$66,0),9),[19]設定!$I43))</f>
        <v>16.2</v>
      </c>
      <c r="N67" s="52">
        <f>IF($D67="","",IF([19]設定!$I43="",INDEX([19]第３表!$F$10:$Q$66,MATCH([19]設定!$D43,[19]第３表!$C$10:$C$66,0),10),[19]設定!$I43))</f>
        <v>106.7</v>
      </c>
      <c r="O67" s="52">
        <f>IF($D67="","",IF([19]設定!$I43="",INDEX([19]第３表!$F$10:$Q$66,MATCH([19]設定!$D43,[19]第３表!$C$10:$C$66,0),11),[19]設定!$I43))</f>
        <v>102.2</v>
      </c>
      <c r="P67" s="55">
        <f>IF($D67="","",IF([19]設定!$I43="",INDEX([19]第３表!$F$10:$Q$66,MATCH([19]設定!$D43,[19]第３表!$C$10:$C$66,0),12),[19]設定!$I43))</f>
        <v>4.5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IF($D68="","",IF([19]設定!$I44="",INDEX([19]第３表!$F$10:$Q$66,MATCH([19]設定!$D44,[19]第３表!$C$10:$C$66,0),1),[19]設定!$I44))</f>
        <v>19.899999999999999</v>
      </c>
      <c r="F68" s="52">
        <f>IF($D68="","",IF([19]設定!$I44="",INDEX([19]第３表!$F$10:$Q$66,MATCH([19]設定!$D44,[19]第３表!$C$10:$C$66,0),2),[19]設定!$I44))</f>
        <v>163</v>
      </c>
      <c r="G68" s="52">
        <f>IF($D68="","",IF([19]設定!$I44="",INDEX([19]第３表!$F$10:$Q$66,MATCH([19]設定!$D44,[19]第３表!$C$10:$C$66,0),3),[19]設定!$I44))</f>
        <v>147.69999999999999</v>
      </c>
      <c r="H68" s="55">
        <f>IF($D68="","",IF([19]設定!$I44="",INDEX([19]第３表!$F$10:$Q$66,MATCH([19]設定!$D44,[19]第３表!$C$10:$C$66,0),4),[19]設定!$I44))</f>
        <v>15.3</v>
      </c>
      <c r="I68" s="52">
        <f>IF($D68="","",IF([19]設定!$I44="",INDEX([19]第３表!$F$10:$Q$66,MATCH([19]設定!$D44,[19]第３表!$C$10:$C$66,0),5),[19]設定!$I44))</f>
        <v>19.7</v>
      </c>
      <c r="J68" s="52">
        <f>IF($D68="","",IF([19]設定!$I44="",INDEX([19]第３表!$F$10:$Q$66,MATCH([19]設定!$D44,[19]第３表!$C$10:$C$66,0),6),[19]設定!$I44))</f>
        <v>162.6</v>
      </c>
      <c r="K68" s="52">
        <f>IF($D68="","",IF([19]設定!$I44="",INDEX([19]第３表!$F$10:$Q$66,MATCH([19]設定!$D44,[19]第３表!$C$10:$C$66,0),7),[19]設定!$I44))</f>
        <v>146.5</v>
      </c>
      <c r="L68" s="55">
        <f>IF($D68="","",IF([19]設定!$I44="",INDEX([19]第３表!$F$10:$Q$66,MATCH([19]設定!$D44,[19]第３表!$C$10:$C$66,0),8),[19]設定!$I44))</f>
        <v>16.100000000000001</v>
      </c>
      <c r="M68" s="52">
        <f>IF($D68="","",IF([19]設定!$I44="",INDEX([19]第３表!$F$10:$Q$66,MATCH([19]設定!$D44,[19]第３表!$C$10:$C$66,0),9),[19]設定!$I44))</f>
        <v>21.6</v>
      </c>
      <c r="N68" s="52">
        <f>IF($D68="","",IF([19]設定!$I44="",INDEX([19]第３表!$F$10:$Q$66,MATCH([19]設定!$D44,[19]第３表!$C$10:$C$66,0),10),[19]設定!$I44))</f>
        <v>167.5</v>
      </c>
      <c r="O68" s="52">
        <f>IF($D68="","",IF([19]設定!$I44="",INDEX([19]第３表!$F$10:$Q$66,MATCH([19]設定!$D44,[19]第３表!$C$10:$C$66,0),11),[19]設定!$I44))</f>
        <v>162.6</v>
      </c>
      <c r="P68" s="55">
        <f>IF($D68="","",IF([19]設定!$I44="",INDEX([19]第３表!$F$10:$Q$66,MATCH([19]設定!$D44,[19]第３表!$C$10:$C$66,0),12),[19]設定!$I44))</f>
        <v>4.9000000000000004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IF($D69="","",IF([19]設定!$I45="",INDEX([19]第３表!$F$10:$Q$66,MATCH([19]設定!$D45,[19]第３表!$C$10:$C$66,0),1),[19]設定!$I45))</f>
        <v>21.2</v>
      </c>
      <c r="F69" s="52">
        <f>IF($D69="","",IF([19]設定!$I45="",INDEX([19]第３表!$F$10:$Q$66,MATCH([19]設定!$D45,[19]第３表!$C$10:$C$66,0),2),[19]設定!$I45))</f>
        <v>162.69999999999999</v>
      </c>
      <c r="G69" s="52">
        <f>IF($D69="","",IF([19]設定!$I45="",INDEX([19]第３表!$F$10:$Q$66,MATCH([19]設定!$D45,[19]第３表!$C$10:$C$66,0),3),[19]設定!$I45))</f>
        <v>152.80000000000001</v>
      </c>
      <c r="H69" s="55">
        <f>IF($D69="","",IF([19]設定!$I45="",INDEX([19]第３表!$F$10:$Q$66,MATCH([19]設定!$D45,[19]第３表!$C$10:$C$66,0),4),[19]設定!$I45))</f>
        <v>9.9</v>
      </c>
      <c r="I69" s="52">
        <f>IF($D69="","",IF([19]設定!$I45="",INDEX([19]第３表!$F$10:$Q$66,MATCH([19]設定!$D45,[19]第３表!$C$10:$C$66,0),5),[19]設定!$I45))</f>
        <v>21.3</v>
      </c>
      <c r="J69" s="52">
        <f>IF($D69="","",IF([19]設定!$I45="",INDEX([19]第３表!$F$10:$Q$66,MATCH([19]設定!$D45,[19]第３表!$C$10:$C$66,0),6),[19]設定!$I45))</f>
        <v>172.8</v>
      </c>
      <c r="K69" s="52">
        <f>IF($D69="","",IF([19]設定!$I45="",INDEX([19]第３表!$F$10:$Q$66,MATCH([19]設定!$D45,[19]第３表!$C$10:$C$66,0),7),[19]設定!$I45))</f>
        <v>159.5</v>
      </c>
      <c r="L69" s="55">
        <f>IF($D69="","",IF([19]設定!$I45="",INDEX([19]第３表!$F$10:$Q$66,MATCH([19]設定!$D45,[19]第３表!$C$10:$C$66,0),8),[19]設定!$I45))</f>
        <v>13.3</v>
      </c>
      <c r="M69" s="52">
        <f>IF($D69="","",IF([19]設定!$I45="",INDEX([19]第３表!$F$10:$Q$66,MATCH([19]設定!$D45,[19]第３表!$C$10:$C$66,0),9),[19]設定!$I45))</f>
        <v>21</v>
      </c>
      <c r="N69" s="52">
        <f>IF($D69="","",IF([19]設定!$I45="",INDEX([19]第３表!$F$10:$Q$66,MATCH([19]設定!$D45,[19]第３表!$C$10:$C$66,0),10),[19]設定!$I45))</f>
        <v>137</v>
      </c>
      <c r="O69" s="52">
        <f>IF($D69="","",IF([19]設定!$I45="",INDEX([19]第３表!$F$10:$Q$66,MATCH([19]設定!$D45,[19]第３表!$C$10:$C$66,0),11),[19]設定!$I45))</f>
        <v>135.69999999999999</v>
      </c>
      <c r="P69" s="55">
        <f>IF($D69="","",IF([19]設定!$I45="",INDEX([19]第３表!$F$10:$Q$66,MATCH([19]設定!$D45,[19]第３表!$C$10:$C$66,0),12),[19]設定!$I45))</f>
        <v>1.3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IF($D70="","",IF([19]設定!$I46="",INDEX([19]第３表!$F$10:$Q$66,MATCH([19]設定!$D46,[19]第３表!$C$10:$C$66,0),1),[19]設定!$I46))</f>
        <v>21.1</v>
      </c>
      <c r="F70" s="52">
        <f>IF($D70="","",IF([19]設定!$I46="",INDEX([19]第３表!$F$10:$Q$66,MATCH([19]設定!$D46,[19]第３表!$C$10:$C$66,0),2),[19]設定!$I46))</f>
        <v>178.8</v>
      </c>
      <c r="G70" s="52">
        <f>IF($D70="","",IF([19]設定!$I46="",INDEX([19]第３表!$F$10:$Q$66,MATCH([19]設定!$D46,[19]第３表!$C$10:$C$66,0),3),[19]設定!$I46))</f>
        <v>155.4</v>
      </c>
      <c r="H70" s="55">
        <f>IF($D70="","",IF([19]設定!$I46="",INDEX([19]第３表!$F$10:$Q$66,MATCH([19]設定!$D46,[19]第３表!$C$10:$C$66,0),4),[19]設定!$I46))</f>
        <v>23.4</v>
      </c>
      <c r="I70" s="52">
        <f>IF($D70="","",IF([19]設定!$I46="",INDEX([19]第３表!$F$10:$Q$66,MATCH([19]設定!$D46,[19]第３表!$C$10:$C$66,0),5),[19]設定!$I46))</f>
        <v>21.3</v>
      </c>
      <c r="J70" s="52">
        <f>IF($D70="","",IF([19]設定!$I46="",INDEX([19]第３表!$F$10:$Q$66,MATCH([19]設定!$D46,[19]第３表!$C$10:$C$66,0),6),[19]設定!$I46))</f>
        <v>180.9</v>
      </c>
      <c r="K70" s="52">
        <f>IF($D70="","",IF([19]設定!$I46="",INDEX([19]第３表!$F$10:$Q$66,MATCH([19]設定!$D46,[19]第３表!$C$10:$C$66,0),7),[19]設定!$I46))</f>
        <v>155.4</v>
      </c>
      <c r="L70" s="55">
        <f>IF($D70="","",IF([19]設定!$I46="",INDEX([19]第３表!$F$10:$Q$66,MATCH([19]設定!$D46,[19]第３表!$C$10:$C$66,0),8),[19]設定!$I46))</f>
        <v>25.5</v>
      </c>
      <c r="M70" s="52">
        <f>IF($D70="","",IF([19]設定!$I46="",INDEX([19]第３表!$F$10:$Q$66,MATCH([19]設定!$D46,[19]第３表!$C$10:$C$66,0),9),[19]設定!$I46))</f>
        <v>20.3</v>
      </c>
      <c r="N70" s="52">
        <f>IF($D70="","",IF([19]設定!$I46="",INDEX([19]第３表!$F$10:$Q$66,MATCH([19]設定!$D46,[19]第３表!$C$10:$C$66,0),10),[19]設定!$I46))</f>
        <v>165</v>
      </c>
      <c r="O70" s="52">
        <f>IF($D70="","",IF([19]設定!$I46="",INDEX([19]第３表!$F$10:$Q$66,MATCH([19]設定!$D46,[19]第３表!$C$10:$C$66,0),11),[19]設定!$I46))</f>
        <v>155.6</v>
      </c>
      <c r="P70" s="55">
        <f>IF($D70="","",IF([19]設定!$I46="",INDEX([19]第３表!$F$10:$Q$66,MATCH([19]設定!$D46,[19]第３表!$C$10:$C$66,0),12),[19]設定!$I46))</f>
        <v>9.4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IF($D71="","",IF([19]設定!$I47="",INDEX([19]第３表!$F$10:$Q$66,MATCH([19]設定!$D47,[19]第３表!$C$10:$C$66,0),1),[19]設定!$I47))</f>
        <v>19.5</v>
      </c>
      <c r="F71" s="52">
        <f>IF($D71="","",IF([19]設定!$I47="",INDEX([19]第３表!$F$10:$Q$66,MATCH([19]設定!$D47,[19]第３表!$C$10:$C$66,0),2),[19]設定!$I47))</f>
        <v>157.19999999999999</v>
      </c>
      <c r="G71" s="52">
        <f>IF($D71="","",IF([19]設定!$I47="",INDEX([19]第３表!$F$10:$Q$66,MATCH([19]設定!$D47,[19]第３表!$C$10:$C$66,0),3),[19]設定!$I47))</f>
        <v>145.6</v>
      </c>
      <c r="H71" s="55">
        <f>IF($D71="","",IF([19]設定!$I47="",INDEX([19]第３表!$F$10:$Q$66,MATCH([19]設定!$D47,[19]第３表!$C$10:$C$66,0),4),[19]設定!$I47))</f>
        <v>11.6</v>
      </c>
      <c r="I71" s="52">
        <f>IF($D71="","",IF([19]設定!$I47="",INDEX([19]第３表!$F$10:$Q$66,MATCH([19]設定!$D47,[19]第３表!$C$10:$C$66,0),5),[19]設定!$I47))</f>
        <v>19.7</v>
      </c>
      <c r="J71" s="52">
        <f>IF($D71="","",IF([19]設定!$I47="",INDEX([19]第３表!$F$10:$Q$66,MATCH([19]設定!$D47,[19]第３表!$C$10:$C$66,0),6),[19]設定!$I47))</f>
        <v>165</v>
      </c>
      <c r="K71" s="52">
        <f>IF($D71="","",IF([19]設定!$I47="",INDEX([19]第３表!$F$10:$Q$66,MATCH([19]設定!$D47,[19]第３表!$C$10:$C$66,0),7),[19]設定!$I47))</f>
        <v>150.6</v>
      </c>
      <c r="L71" s="55">
        <f>IF($D71="","",IF([19]設定!$I47="",INDEX([19]第３表!$F$10:$Q$66,MATCH([19]設定!$D47,[19]第３表!$C$10:$C$66,0),8),[19]設定!$I47))</f>
        <v>14.4</v>
      </c>
      <c r="M71" s="52">
        <f>IF($D71="","",IF([19]設定!$I47="",INDEX([19]第３表!$F$10:$Q$66,MATCH([19]設定!$D47,[19]第３表!$C$10:$C$66,0),9),[19]設定!$I47))</f>
        <v>18.7</v>
      </c>
      <c r="N71" s="52">
        <f>IF($D71="","",IF([19]設定!$I47="",INDEX([19]第３表!$F$10:$Q$66,MATCH([19]設定!$D47,[19]第３表!$C$10:$C$66,0),10),[19]設定!$I47))</f>
        <v>130</v>
      </c>
      <c r="O71" s="52">
        <f>IF($D71="","",IF([19]設定!$I47="",INDEX([19]第３表!$F$10:$Q$66,MATCH([19]設定!$D47,[19]第３表!$C$10:$C$66,0),11),[19]設定!$I47))</f>
        <v>128.19999999999999</v>
      </c>
      <c r="P71" s="55">
        <f>IF($D71="","",IF([19]設定!$I47="",INDEX([19]第３表!$F$10:$Q$66,MATCH([19]設定!$D47,[19]第３表!$C$10:$C$66,0),12),[19]設定!$I47))</f>
        <v>1.8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IF($D72="","",IF([19]設定!$I48="",INDEX([19]第３表!$F$10:$Q$66,MATCH([19]設定!$D48,[19]第３表!$C$10:$C$66,0),1),[19]設定!$I48))</f>
        <v>20.8</v>
      </c>
      <c r="F72" s="55">
        <f>IF($D72="","",IF([19]設定!$I48="",INDEX([19]第３表!$F$10:$Q$66,MATCH([19]設定!$D48,[19]第３表!$C$10:$C$66,0),2),[19]設定!$I48))</f>
        <v>173.4</v>
      </c>
      <c r="G72" s="55">
        <f>IF($D72="","",IF([19]設定!$I48="",INDEX([19]第３表!$F$10:$Q$66,MATCH([19]設定!$D48,[19]第３表!$C$10:$C$66,0),3),[19]設定!$I48))</f>
        <v>161.30000000000001</v>
      </c>
      <c r="H72" s="55">
        <f>IF($D72="","",IF([19]設定!$I48="",INDEX([19]第３表!$F$10:$Q$66,MATCH([19]設定!$D48,[19]第３表!$C$10:$C$66,0),4),[19]設定!$I48))</f>
        <v>12.1</v>
      </c>
      <c r="I72" s="55">
        <f>IF($D72="","",IF([19]設定!$I48="",INDEX([19]第３表!$F$10:$Q$66,MATCH([19]設定!$D48,[19]第３表!$C$10:$C$66,0),5),[19]設定!$I48))</f>
        <v>20.6</v>
      </c>
      <c r="J72" s="55">
        <f>IF($D72="","",IF([19]設定!$I48="",INDEX([19]第３表!$F$10:$Q$66,MATCH([19]設定!$D48,[19]第３表!$C$10:$C$66,0),6),[19]設定!$I48))</f>
        <v>175.3</v>
      </c>
      <c r="K72" s="55">
        <f>IF($D72="","",IF([19]設定!$I48="",INDEX([19]第３表!$F$10:$Q$66,MATCH([19]設定!$D48,[19]第３表!$C$10:$C$66,0),7),[19]設定!$I48))</f>
        <v>160.5</v>
      </c>
      <c r="L72" s="55">
        <f>IF($D72="","",IF([19]設定!$I48="",INDEX([19]第３表!$F$10:$Q$66,MATCH([19]設定!$D48,[19]第３表!$C$10:$C$66,0),8),[19]設定!$I48))</f>
        <v>14.8</v>
      </c>
      <c r="M72" s="55">
        <f>IF($D72="","",IF([19]設定!$I48="",INDEX([19]第３表!$F$10:$Q$66,MATCH([19]設定!$D48,[19]第３表!$C$10:$C$66,0),9),[19]設定!$I48))</f>
        <v>21.4</v>
      </c>
      <c r="N72" s="55">
        <f>IF($D72="","",IF([19]設定!$I48="",INDEX([19]第３表!$F$10:$Q$66,MATCH([19]設定!$D48,[19]第３表!$C$10:$C$66,0),10),[19]設定!$I48))</f>
        <v>167.3</v>
      </c>
      <c r="O72" s="55">
        <f>IF($D72="","",IF([19]設定!$I48="",INDEX([19]第３表!$F$10:$Q$66,MATCH([19]設定!$D48,[19]第３表!$C$10:$C$66,0),11),[19]設定!$I48))</f>
        <v>163.80000000000001</v>
      </c>
      <c r="P72" s="55">
        <f>IF($D72="","",IF([19]設定!$I48="",INDEX([19]第３表!$F$10:$Q$66,MATCH([19]設定!$D48,[19]第３表!$C$10:$C$66,0),12),[19]設定!$I48))</f>
        <v>3.5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IF($D73="","",IF([19]設定!$I49="",INDEX([19]第３表!$F$10:$Q$66,MATCH([19]設定!$D49,[19]第３表!$C$10:$C$66,0),1),[19]設定!$I49))</f>
        <v>19.600000000000001</v>
      </c>
      <c r="F73" s="55">
        <f>IF($D73="","",IF([19]設定!$I49="",INDEX([19]第３表!$F$10:$Q$66,MATCH([19]設定!$D49,[19]第３表!$C$10:$C$66,0),2),[19]設定!$I49))</f>
        <v>161.69999999999999</v>
      </c>
      <c r="G73" s="55">
        <f>IF($D73="","",IF([19]設定!$I49="",INDEX([19]第３表!$F$10:$Q$66,MATCH([19]設定!$D49,[19]第３表!$C$10:$C$66,0),3),[19]設定!$I49))</f>
        <v>152.30000000000001</v>
      </c>
      <c r="H73" s="55">
        <f>IF($D73="","",IF([19]設定!$I49="",INDEX([19]第３表!$F$10:$Q$66,MATCH([19]設定!$D49,[19]第３表!$C$10:$C$66,0),4),[19]設定!$I49))</f>
        <v>9.4</v>
      </c>
      <c r="I73" s="55">
        <f>IF($D73="","",IF([19]設定!$I49="",INDEX([19]第３表!$F$10:$Q$66,MATCH([19]設定!$D49,[19]第３表!$C$10:$C$66,0),5),[19]設定!$I49))</f>
        <v>20.100000000000001</v>
      </c>
      <c r="J73" s="55">
        <f>IF($D73="","",IF([19]設定!$I49="",INDEX([19]第３表!$F$10:$Q$66,MATCH([19]設定!$D49,[19]第３表!$C$10:$C$66,0),6),[19]設定!$I49))</f>
        <v>166.3</v>
      </c>
      <c r="K73" s="55">
        <f>IF($D73="","",IF([19]設定!$I49="",INDEX([19]第３表!$F$10:$Q$66,MATCH([19]設定!$D49,[19]第３表!$C$10:$C$66,0),7),[19]設定!$I49))</f>
        <v>154.80000000000001</v>
      </c>
      <c r="L73" s="55">
        <f>IF($D73="","",IF([19]設定!$I49="",INDEX([19]第３表!$F$10:$Q$66,MATCH([19]設定!$D49,[19]第３表!$C$10:$C$66,0),8),[19]設定!$I49))</f>
        <v>11.5</v>
      </c>
      <c r="M73" s="55">
        <f>IF($D73="","",IF([19]設定!$I49="",INDEX([19]第３表!$F$10:$Q$66,MATCH([19]設定!$D49,[19]第３表!$C$10:$C$66,0),9),[19]設定!$I49))</f>
        <v>19.100000000000001</v>
      </c>
      <c r="N73" s="55">
        <f>IF($D73="","",IF([19]設定!$I49="",INDEX([19]第３表!$F$10:$Q$66,MATCH([19]設定!$D49,[19]第３表!$C$10:$C$66,0),10),[19]設定!$I49))</f>
        <v>157.30000000000001</v>
      </c>
      <c r="O73" s="55">
        <f>IF($D73="","",IF([19]設定!$I49="",INDEX([19]第３表!$F$10:$Q$66,MATCH([19]設定!$D49,[19]第３表!$C$10:$C$66,0),11),[19]設定!$I49))</f>
        <v>149.9</v>
      </c>
      <c r="P73" s="55">
        <f>IF($D73="","",IF([19]設定!$I49="",INDEX([19]第３表!$F$10:$Q$66,MATCH([19]設定!$D49,[19]第３表!$C$10:$C$66,0),12),[19]設定!$I49))</f>
        <v>7.4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IF($D74="","",IF([19]設定!$I50="",INDEX([19]第３表!$F$10:$Q$66,MATCH([19]設定!$D50,[19]第３表!$C$10:$C$66,0),1),[19]設定!$I50))</f>
        <v>18.3</v>
      </c>
      <c r="F74" s="55">
        <f>IF($D74="","",IF([19]設定!$I50="",INDEX([19]第３表!$F$10:$Q$66,MATCH([19]設定!$D50,[19]第３表!$C$10:$C$66,0),2),[19]設定!$I50))</f>
        <v>154.69999999999999</v>
      </c>
      <c r="G74" s="55">
        <f>IF($D74="","",IF([19]設定!$I50="",INDEX([19]第３表!$F$10:$Q$66,MATCH([19]設定!$D50,[19]第３表!$C$10:$C$66,0),3),[19]設定!$I50))</f>
        <v>142.1</v>
      </c>
      <c r="H74" s="55">
        <f>IF($D74="","",IF([19]設定!$I50="",INDEX([19]第３表!$F$10:$Q$66,MATCH([19]設定!$D50,[19]第３表!$C$10:$C$66,0),4),[19]設定!$I50))</f>
        <v>12.6</v>
      </c>
      <c r="I74" s="55">
        <f>IF($D74="","",IF([19]設定!$I50="",INDEX([19]第３表!$F$10:$Q$66,MATCH([19]設定!$D50,[19]第３表!$C$10:$C$66,0),5),[19]設定!$I50))</f>
        <v>18.2</v>
      </c>
      <c r="J74" s="55">
        <f>IF($D74="","",IF([19]設定!$I50="",INDEX([19]第３表!$F$10:$Q$66,MATCH([19]設定!$D50,[19]第３表!$C$10:$C$66,0),6),[19]設定!$I50))</f>
        <v>160.19999999999999</v>
      </c>
      <c r="K74" s="55">
        <f>IF($D74="","",IF([19]設定!$I50="",INDEX([19]第３表!$F$10:$Q$66,MATCH([19]設定!$D50,[19]第３表!$C$10:$C$66,0),7),[19]設定!$I50))</f>
        <v>144.4</v>
      </c>
      <c r="L74" s="55">
        <f>IF($D74="","",IF([19]設定!$I50="",INDEX([19]第３表!$F$10:$Q$66,MATCH([19]設定!$D50,[19]第３表!$C$10:$C$66,0),8),[19]設定!$I50))</f>
        <v>15.8</v>
      </c>
      <c r="M74" s="55">
        <f>IF($D74="","",IF([19]設定!$I50="",INDEX([19]第３表!$F$10:$Q$66,MATCH([19]設定!$D50,[19]第３表!$C$10:$C$66,0),9),[19]設定!$I50))</f>
        <v>18.399999999999999</v>
      </c>
      <c r="N74" s="55">
        <f>IF($D74="","",IF([19]設定!$I50="",INDEX([19]第３表!$F$10:$Q$66,MATCH([19]設定!$D50,[19]第３表!$C$10:$C$66,0),10),[19]設定!$I50))</f>
        <v>144.1</v>
      </c>
      <c r="O74" s="55">
        <f>IF($D74="","",IF([19]設定!$I50="",INDEX([19]第３表!$F$10:$Q$66,MATCH([19]設定!$D50,[19]第３表!$C$10:$C$66,0),11),[19]設定!$I50))</f>
        <v>137.6</v>
      </c>
      <c r="P74" s="55">
        <f>IF($D74="","",IF([19]設定!$I50="",INDEX([19]第３表!$F$10:$Q$66,MATCH([19]設定!$D50,[19]第３表!$C$10:$C$66,0),12),[19]設定!$I50))</f>
        <v>6.5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IF($D75="","",IF([19]設定!$I51="",INDEX([19]第３表!$F$10:$Q$66,MATCH([19]設定!$D51,[19]第３表!$C$10:$C$66,0),1),[19]設定!$I51))</f>
        <v>20.399999999999999</v>
      </c>
      <c r="F75" s="55">
        <f>IF($D75="","",IF([19]設定!$I51="",INDEX([19]第３表!$F$10:$Q$66,MATCH([19]設定!$D51,[19]第３表!$C$10:$C$66,0),2),[19]設定!$I51))</f>
        <v>164.7</v>
      </c>
      <c r="G75" s="55">
        <f>IF($D75="","",IF([19]設定!$I51="",INDEX([19]第３表!$F$10:$Q$66,MATCH([19]設定!$D51,[19]第３表!$C$10:$C$66,0),3),[19]設定!$I51))</f>
        <v>158.80000000000001</v>
      </c>
      <c r="H75" s="55">
        <f>IF($D75="","",IF([19]設定!$I51="",INDEX([19]第３表!$F$10:$Q$66,MATCH([19]設定!$D51,[19]第３表!$C$10:$C$66,0),4),[19]設定!$I51))</f>
        <v>5.9</v>
      </c>
      <c r="I75" s="55">
        <f>IF($D75="","",IF([19]設定!$I51="",INDEX([19]第３表!$F$10:$Q$66,MATCH([19]設定!$D51,[19]第３表!$C$10:$C$66,0),5),[19]設定!$I51))</f>
        <v>20.9</v>
      </c>
      <c r="J75" s="55">
        <f>IF($D75="","",IF([19]設定!$I51="",INDEX([19]第３表!$F$10:$Q$66,MATCH([19]設定!$D51,[19]第３表!$C$10:$C$66,0),6),[19]設定!$I51))</f>
        <v>170.5</v>
      </c>
      <c r="K75" s="55">
        <f>IF($D75="","",IF([19]設定!$I51="",INDEX([19]第３表!$F$10:$Q$66,MATCH([19]設定!$D51,[19]第３表!$C$10:$C$66,0),7),[19]設定!$I51))</f>
        <v>162.6</v>
      </c>
      <c r="L75" s="55">
        <f>IF($D75="","",IF([19]設定!$I51="",INDEX([19]第３表!$F$10:$Q$66,MATCH([19]設定!$D51,[19]第３表!$C$10:$C$66,0),8),[19]設定!$I51))</f>
        <v>7.9</v>
      </c>
      <c r="M75" s="55">
        <f>IF($D75="","",IF([19]設定!$I51="",INDEX([19]第３表!$F$10:$Q$66,MATCH([19]設定!$D51,[19]第３表!$C$10:$C$66,0),9),[19]設定!$I51))</f>
        <v>19.5</v>
      </c>
      <c r="N75" s="55">
        <f>IF($D75="","",IF([19]設定!$I51="",INDEX([19]第３表!$F$10:$Q$66,MATCH([19]設定!$D51,[19]第３表!$C$10:$C$66,0),10),[19]設定!$I51))</f>
        <v>153</v>
      </c>
      <c r="O75" s="55">
        <f>IF($D75="","",IF([19]設定!$I51="",INDEX([19]第３表!$F$10:$Q$66,MATCH([19]設定!$D51,[19]第３表!$C$10:$C$66,0),11),[19]設定!$I51))</f>
        <v>151.1</v>
      </c>
      <c r="P75" s="55">
        <f>IF($D75="","",IF([19]設定!$I51="",INDEX([19]第３表!$F$10:$Q$66,MATCH([19]設定!$D51,[19]第３表!$C$10:$C$66,0),12),[19]設定!$I51))</f>
        <v>1.9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IF($D76="","",IF([19]設定!$I52="",INDEX([19]第３表!$F$10:$Q$66,MATCH([19]設定!$D52,[19]第３表!$C$10:$C$66,0),1),[19]設定!$I52))</f>
        <v>20.2</v>
      </c>
      <c r="F76" s="55">
        <f>IF($D76="","",IF([19]設定!$I52="",INDEX([19]第３表!$F$10:$Q$66,MATCH([19]設定!$D52,[19]第３表!$C$10:$C$66,0),2),[19]設定!$I52))</f>
        <v>191.3</v>
      </c>
      <c r="G76" s="55">
        <f>IF($D76="","",IF([19]設定!$I52="",INDEX([19]第３表!$F$10:$Q$66,MATCH([19]設定!$D52,[19]第３表!$C$10:$C$66,0),3),[19]設定!$I52))</f>
        <v>162.30000000000001</v>
      </c>
      <c r="H76" s="55">
        <f>IF($D76="","",IF([19]設定!$I52="",INDEX([19]第３表!$F$10:$Q$66,MATCH([19]設定!$D52,[19]第３表!$C$10:$C$66,0),4),[19]設定!$I52))</f>
        <v>29</v>
      </c>
      <c r="I76" s="55">
        <f>IF($D76="","",IF([19]設定!$I52="",INDEX([19]第３表!$F$10:$Q$66,MATCH([19]設定!$D52,[19]第３表!$C$10:$C$66,0),5),[19]設定!$I52))</f>
        <v>20.2</v>
      </c>
      <c r="J76" s="55">
        <f>IF($D76="","",IF([19]設定!$I52="",INDEX([19]第３表!$F$10:$Q$66,MATCH([19]設定!$D52,[19]第３表!$C$10:$C$66,0),6),[19]設定!$I52))</f>
        <v>194.3</v>
      </c>
      <c r="K76" s="55">
        <f>IF($D76="","",IF([19]設定!$I52="",INDEX([19]第３表!$F$10:$Q$66,MATCH([19]設定!$D52,[19]第３表!$C$10:$C$66,0),7),[19]設定!$I52))</f>
        <v>163.69999999999999</v>
      </c>
      <c r="L76" s="55">
        <f>IF($D76="","",IF([19]設定!$I52="",INDEX([19]第３表!$F$10:$Q$66,MATCH([19]設定!$D52,[19]第３表!$C$10:$C$66,0),8),[19]設定!$I52))</f>
        <v>30.6</v>
      </c>
      <c r="M76" s="55">
        <f>IF($D76="","",IF([19]設定!$I52="",INDEX([19]第３表!$F$10:$Q$66,MATCH([19]設定!$D52,[19]第３表!$C$10:$C$66,0),9),[19]設定!$I52))</f>
        <v>20.2</v>
      </c>
      <c r="N76" s="55">
        <f>IF($D76="","",IF([19]設定!$I52="",INDEX([19]第３表!$F$10:$Q$66,MATCH([19]設定!$D52,[19]第３表!$C$10:$C$66,0),10),[19]設定!$I52))</f>
        <v>178.2</v>
      </c>
      <c r="O76" s="55">
        <f>IF($D76="","",IF([19]設定!$I52="",INDEX([19]第３表!$F$10:$Q$66,MATCH([19]設定!$D52,[19]第３表!$C$10:$C$66,0),11),[19]設定!$I52))</f>
        <v>156.19999999999999</v>
      </c>
      <c r="P76" s="55">
        <f>IF($D76="","",IF([19]設定!$I52="",INDEX([19]第３表!$F$10:$Q$66,MATCH([19]設定!$D52,[19]第３表!$C$10:$C$66,0),12),[19]設定!$I52))</f>
        <v>22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IF($D77="","",IF([19]設定!$I53="",INDEX([19]第３表!$F$10:$Q$66,MATCH([19]設定!$D53,[19]第３表!$C$10:$C$66,0),1),[19]設定!$I53))</f>
        <v>20.100000000000001</v>
      </c>
      <c r="F77" s="69">
        <f>IF($D77="","",IF([19]設定!$I53="",INDEX([19]第３表!$F$10:$Q$66,MATCH([19]設定!$D53,[19]第３表!$C$10:$C$66,0),2),[19]設定!$I53))</f>
        <v>169.2</v>
      </c>
      <c r="G77" s="69">
        <f>IF($D77="","",IF([19]設定!$I53="",INDEX([19]第３表!$F$10:$Q$66,MATCH([19]設定!$D53,[19]第３表!$C$10:$C$66,0),3),[19]設定!$I53))</f>
        <v>159.69999999999999</v>
      </c>
      <c r="H77" s="69">
        <f>IF($D77="","",IF([19]設定!$I53="",INDEX([19]第３表!$F$10:$Q$66,MATCH([19]設定!$D53,[19]第３表!$C$10:$C$66,0),4),[19]設定!$I53))</f>
        <v>9.5</v>
      </c>
      <c r="I77" s="69">
        <f>IF($D77="","",IF([19]設定!$I53="",INDEX([19]第３表!$F$10:$Q$66,MATCH([19]設定!$D53,[19]第３表!$C$10:$C$66,0),5),[19]設定!$I53))</f>
        <v>20.5</v>
      </c>
      <c r="J77" s="69">
        <f>IF($D77="","",IF([19]設定!$I53="",INDEX([19]第３表!$F$10:$Q$66,MATCH([19]設定!$D53,[19]第３表!$C$10:$C$66,0),6),[19]設定!$I53))</f>
        <v>176.4</v>
      </c>
      <c r="K77" s="69">
        <f>IF($D77="","",IF([19]設定!$I53="",INDEX([19]第３表!$F$10:$Q$66,MATCH([19]設定!$D53,[19]第３表!$C$10:$C$66,0),7),[19]設定!$I53))</f>
        <v>163.4</v>
      </c>
      <c r="L77" s="69">
        <f>IF($D77="","",IF([19]設定!$I53="",INDEX([19]第３表!$F$10:$Q$66,MATCH([19]設定!$D53,[19]第３表!$C$10:$C$66,0),8),[19]設定!$I53))</f>
        <v>13</v>
      </c>
      <c r="M77" s="69">
        <f>IF($D77="","",IF([19]設定!$I53="",INDEX([19]第３表!$F$10:$Q$66,MATCH([19]設定!$D53,[19]第３表!$C$10:$C$66,0),9),[19]設定!$I53))</f>
        <v>19.5</v>
      </c>
      <c r="N77" s="69">
        <f>IF($D77="","",IF([19]設定!$I53="",INDEX([19]第３表!$F$10:$Q$66,MATCH([19]設定!$D53,[19]第３表!$C$10:$C$66,0),10),[19]設定!$I53))</f>
        <v>158.30000000000001</v>
      </c>
      <c r="O77" s="69">
        <f>IF($D77="","",IF([19]設定!$I53="",INDEX([19]第３表!$F$10:$Q$66,MATCH([19]設定!$D53,[19]第３表!$C$10:$C$66,0),11),[19]設定!$I53))</f>
        <v>154.1</v>
      </c>
      <c r="P77" s="69">
        <f>IF($D77="","",IF([19]設定!$I53="",INDEX([19]第３表!$F$10:$Q$66,MATCH([19]設定!$D53,[19]第３表!$C$10:$C$66,0),12),[19]設定!$I53))</f>
        <v>4.2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IF($D78="","",IF([19]設定!$I54="",INDEX([19]第３表!$F$10:$Q$66,MATCH([19]設定!$D54,[19]第３表!$C$10:$C$66,0),1),[19]設定!$I54))</f>
        <v>19</v>
      </c>
      <c r="F78" s="73">
        <f>IF($D78="","",IF([19]設定!$I54="",INDEX([19]第３表!$F$10:$Q$66,MATCH([19]設定!$D54,[19]第３表!$C$10:$C$66,0),2),[19]設定!$I54))</f>
        <v>152.4</v>
      </c>
      <c r="G78" s="73">
        <f>IF($D78="","",IF([19]設定!$I54="",INDEX([19]第３表!$F$10:$Q$66,MATCH([19]設定!$D54,[19]第３表!$C$10:$C$66,0),3),[19]設定!$I54))</f>
        <v>144</v>
      </c>
      <c r="H78" s="73">
        <f>IF($D78="","",IF([19]設定!$I54="",INDEX([19]第３表!$F$10:$Q$66,MATCH([19]設定!$D54,[19]第３表!$C$10:$C$66,0),4),[19]設定!$I54))</f>
        <v>8.4</v>
      </c>
      <c r="I78" s="73">
        <f>IF($D78="","",IF([19]設定!$I54="",INDEX([19]第３表!$F$10:$Q$66,MATCH([19]設定!$D54,[19]第３表!$C$10:$C$66,0),5),[19]設定!$I54))</f>
        <v>19.100000000000001</v>
      </c>
      <c r="J78" s="73">
        <f>IF($D78="","",IF([19]設定!$I54="",INDEX([19]第３表!$F$10:$Q$66,MATCH([19]設定!$D54,[19]第３表!$C$10:$C$66,0),6),[19]設定!$I54))</f>
        <v>163.9</v>
      </c>
      <c r="K78" s="73">
        <f>IF($D78="","",IF([19]設定!$I54="",INDEX([19]第３表!$F$10:$Q$66,MATCH([19]設定!$D54,[19]第３表!$C$10:$C$66,0),7),[19]設定!$I54))</f>
        <v>150.4</v>
      </c>
      <c r="L78" s="73">
        <f>IF($D78="","",IF([19]設定!$I54="",INDEX([19]第３表!$F$10:$Q$66,MATCH([19]設定!$D54,[19]第３表!$C$10:$C$66,0),8),[19]設定!$I54))</f>
        <v>13.5</v>
      </c>
      <c r="M78" s="73">
        <f>IF($D78="","",IF([19]設定!$I54="",INDEX([19]第３表!$F$10:$Q$66,MATCH([19]設定!$D54,[19]第３表!$C$10:$C$66,0),9),[19]設定!$I54))</f>
        <v>19</v>
      </c>
      <c r="N78" s="73">
        <f>IF($D78="","",IF([19]設定!$I54="",INDEX([19]第３表!$F$10:$Q$66,MATCH([19]設定!$D54,[19]第３表!$C$10:$C$66,0),10),[19]設定!$I54))</f>
        <v>144.1</v>
      </c>
      <c r="O78" s="73">
        <f>IF($D78="","",IF([19]設定!$I54="",INDEX([19]第３表!$F$10:$Q$66,MATCH([19]設定!$D54,[19]第３表!$C$10:$C$66,0),11),[19]設定!$I54))</f>
        <v>139.4</v>
      </c>
      <c r="P78" s="73">
        <f>IF($D78="","",IF([19]設定!$I54="",INDEX([19]第３表!$F$10:$Q$66,MATCH([19]設定!$D54,[19]第３表!$C$10:$C$66,0),12),[19]設定!$I54))</f>
        <v>4.7</v>
      </c>
    </row>
  </sheetData>
  <phoneticPr fontId="2"/>
  <printOptions horizontalCentered="1"/>
  <pageMargins left="0.78740157480314965" right="0.78740157480314965" top="0.78740157480314965" bottom="0.59055118110236227" header="0" footer="0.39370078740157483"/>
  <pageSetup paperSize="9" scale="55" orientation="portrait" blackAndWhite="1" cellComments="atEnd" r:id="rId1"/>
  <headerFooter scaleWithDoc="0" alignWithMargins="0">
    <oddFooter>&amp;C- 15 -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BEAA-5B89-4C75-8DE9-45349DE09B83}">
  <sheetPr>
    <pageSetUpPr fitToPage="1"/>
  </sheetPr>
  <dimension ref="A1:R78"/>
  <sheetViews>
    <sheetView showGridLines="0" view="pageBreakPreview" topLeftCell="A58" zoomScale="80" zoomScaleNormal="80" zoomScaleSheetLayoutView="80" workbookViewId="0">
      <selection activeCell="X16" sqref="X16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3.898437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（"&amp;[21]設定!D8&amp;DBCS([21]設定!E8)&amp;"年"&amp;DBCS([21]設定!F8)&amp;"月）"</f>
        <v>　　    （令和５年１１月）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+[22]第５表!B9</f>
        <v>TL</v>
      </c>
      <c r="C9" s="46"/>
      <c r="D9" s="47" t="str">
        <f>+[22]第５表!D9</f>
        <v>調査産業計</v>
      </c>
      <c r="E9" s="48">
        <f>IF($D9="","",IF([21]設定!$H23="",INDEX([21]第３表!$F$80:$Q$136,MATCH([21]設定!$D23,[21]第３表!$C$80:$C$136,0),1),[21]設定!$H23))</f>
        <v>18.5</v>
      </c>
      <c r="F9" s="48">
        <f>IF($D9="","",IF([21]設定!$H23="",INDEX([21]第３表!$F$80:$Q$136,MATCH([21]設定!$D23,[21]第３表!$C$80:$C$136,0),2),[21]設定!$H23))</f>
        <v>141.4</v>
      </c>
      <c r="G9" s="48">
        <f>IF($D9="","",IF([21]設定!$H23="",INDEX([21]第３表!$F$80:$Q$136,MATCH([21]設定!$D23,[21]第３表!$C$80:$C$136,0),3),[21]設定!$H23))</f>
        <v>132.19999999999999</v>
      </c>
      <c r="H9" s="48">
        <f>IF($D9="","",IF([21]設定!$H23="",INDEX([21]第３表!$F$80:$Q$136,MATCH([21]設定!$D23,[21]第３表!$C$80:$C$136,0),4),[21]設定!$H23))</f>
        <v>9.1999999999999993</v>
      </c>
      <c r="I9" s="48">
        <f>IF($D9="","",IF([21]設定!$H23="",INDEX([21]第３表!$F$80:$Q$136,MATCH([21]設定!$D23,[21]第３表!$C$80:$C$136,0),5),[21]設定!$H23))</f>
        <v>19.3</v>
      </c>
      <c r="J9" s="48">
        <f>IF($D9="","",IF([21]設定!$H23="",INDEX([21]第３表!$F$80:$Q$136,MATCH([21]設定!$D23,[21]第３表!$C$80:$C$136,0),6),[21]設定!$H23))</f>
        <v>157.4</v>
      </c>
      <c r="K9" s="48">
        <f>IF($D9="","",IF([21]設定!$H23="",INDEX([21]第３表!$F$80:$Q$136,MATCH([21]設定!$D23,[21]第３表!$C$80:$C$136,0),7),[21]設定!$H23))</f>
        <v>143.6</v>
      </c>
      <c r="L9" s="48">
        <f>IF($D9="","",IF([21]設定!$H23="",INDEX([21]第３表!$F$80:$Q$136,MATCH([21]設定!$D23,[21]第３表!$C$80:$C$136,0),8),[21]設定!$H23))</f>
        <v>13.8</v>
      </c>
      <c r="M9" s="48">
        <f>IF($D9="","",IF([21]設定!$H23="",INDEX([21]第３表!$F$80:$Q$136,MATCH([21]設定!$D23,[21]第３表!$C$80:$C$136,0),9),[21]設定!$H23))</f>
        <v>17.7</v>
      </c>
      <c r="N9" s="48">
        <f>IF($D9="","",IF([21]設定!$H23="",INDEX([21]第３表!$F$80:$Q$136,MATCH([21]設定!$D23,[21]第３表!$C$80:$C$136,0),10),[21]設定!$H23))</f>
        <v>126</v>
      </c>
      <c r="O9" s="48">
        <f>IF($D9="","",IF([21]設定!$H23="",INDEX([21]第３表!$F$80:$Q$136,MATCH([21]設定!$D23,[21]第３表!$C$80:$C$136,0),11),[21]設定!$H23))</f>
        <v>121.1</v>
      </c>
      <c r="P9" s="48">
        <f>IF($D9="","",IF([21]設定!$H23="",INDEX([21]第３表!$F$80:$Q$136,MATCH([21]設定!$D23,[21]第３表!$C$80:$C$136,0),12),[21]設定!$H23))</f>
        <v>4.9000000000000004</v>
      </c>
    </row>
    <row r="10" spans="1:18" s="8" customFormat="1" ht="17.25" customHeight="1" x14ac:dyDescent="0.45">
      <c r="B10" s="49" t="str">
        <f>+[22]第５表!B10</f>
        <v>D</v>
      </c>
      <c r="C10" s="50"/>
      <c r="D10" s="51" t="str">
        <f>+[22]第５表!D10</f>
        <v>建設業</v>
      </c>
      <c r="E10" s="52">
        <f>IF($D10="","",IF([21]設定!$H24="",INDEX([21]第３表!$F$80:$Q$136,MATCH([21]設定!$D24,[21]第３表!$C$80:$C$136,0),1),[21]設定!$H24))</f>
        <v>21.1</v>
      </c>
      <c r="F10" s="52">
        <f>IF($D10="","",IF([21]設定!$H24="",INDEX([21]第３表!$F$80:$Q$136,MATCH([21]設定!$D24,[21]第３表!$C$80:$C$136,0),2),[21]設定!$H24))</f>
        <v>164.2</v>
      </c>
      <c r="G10" s="52">
        <f>IF($D10="","",IF([21]設定!$H24="",INDEX([21]第３表!$F$80:$Q$136,MATCH([21]設定!$D24,[21]第３表!$C$80:$C$136,0),3),[21]設定!$H24))</f>
        <v>156.5</v>
      </c>
      <c r="H10" s="53">
        <f>IF($D10="","",IF([21]設定!$H24="",INDEX([21]第３表!$F$80:$Q$136,MATCH([21]設定!$D24,[21]第３表!$C$80:$C$136,0),4),[21]設定!$H24))</f>
        <v>7.7</v>
      </c>
      <c r="I10" s="54">
        <f>IF($D10="","",IF([21]設定!$H24="",INDEX([21]第３表!$F$80:$Q$136,MATCH([21]設定!$D24,[21]第３表!$C$80:$C$136,0),5),[21]設定!$H24))</f>
        <v>21.4</v>
      </c>
      <c r="J10" s="54">
        <f>IF($D10="","",IF([21]設定!$H24="",INDEX([21]第３表!$F$80:$Q$136,MATCH([21]設定!$D24,[21]第３表!$C$80:$C$136,0),6),[21]設定!$H24))</f>
        <v>168.7</v>
      </c>
      <c r="K10" s="54">
        <f>IF($D10="","",IF([21]設定!$H24="",INDEX([21]第３表!$F$80:$Q$136,MATCH([21]設定!$D24,[21]第３表!$C$80:$C$136,0),7),[21]設定!$H24))</f>
        <v>160.1</v>
      </c>
      <c r="L10" s="55">
        <f>IF($D10="","",IF([21]設定!$H24="",INDEX([21]第３表!$F$80:$Q$136,MATCH([21]設定!$D24,[21]第３表!$C$80:$C$136,0),8),[21]設定!$H24))</f>
        <v>8.6</v>
      </c>
      <c r="M10" s="56">
        <f>IF($D10="","",IF([21]設定!$H24="",INDEX([21]第３表!$F$80:$Q$136,MATCH([21]設定!$D24,[21]第３表!$C$80:$C$136,0),9),[21]設定!$H24))</f>
        <v>19.399999999999999</v>
      </c>
      <c r="N10" s="56">
        <f>IF($D10="","",IF([21]設定!$H24="",INDEX([21]第３表!$F$80:$Q$136,MATCH([21]設定!$D24,[21]第３表!$C$80:$C$136,0),10),[21]設定!$H24))</f>
        <v>138.9</v>
      </c>
      <c r="O10" s="56">
        <f>IF($D10="","",IF([21]設定!$H24="",INDEX([21]第３表!$F$80:$Q$136,MATCH([21]設定!$D24,[21]第３表!$C$80:$C$136,0),11),[21]設定!$H24))</f>
        <v>136.1</v>
      </c>
      <c r="P10" s="57">
        <f>IF($D10="","",IF([21]設定!$H24="",INDEX([21]第３表!$F$80:$Q$136,MATCH([21]設定!$D24,[21]第３表!$C$80:$C$136,0),12),[21]設定!$H24))</f>
        <v>2.8</v>
      </c>
    </row>
    <row r="11" spans="1:18" s="8" customFormat="1" ht="17.25" customHeight="1" x14ac:dyDescent="0.45">
      <c r="B11" s="49" t="str">
        <f>+[22]第５表!B11</f>
        <v>E</v>
      </c>
      <c r="C11" s="50"/>
      <c r="D11" s="51" t="str">
        <f>+[22]第５表!D11</f>
        <v>製造業</v>
      </c>
      <c r="E11" s="52">
        <f>IF($D11="","",IF([21]設定!$H25="",INDEX([21]第３表!$F$80:$Q$136,MATCH([21]設定!$D25,[21]第３表!$C$80:$C$136,0),1),[21]設定!$H25))</f>
        <v>19.5</v>
      </c>
      <c r="F11" s="52">
        <f>IF($D11="","",IF([21]設定!$H25="",INDEX([21]第３表!$F$80:$Q$136,MATCH([21]設定!$D25,[21]第３表!$C$80:$C$136,0),2),[21]設定!$H25))</f>
        <v>159.30000000000001</v>
      </c>
      <c r="G11" s="52">
        <f>IF($D11="","",IF([21]設定!$H25="",INDEX([21]第３表!$F$80:$Q$136,MATCH([21]設定!$D25,[21]第３表!$C$80:$C$136,0),3),[21]設定!$H25))</f>
        <v>146.1</v>
      </c>
      <c r="H11" s="53">
        <f>IF($D11="","",IF([21]設定!$H25="",INDEX([21]第３表!$F$80:$Q$136,MATCH([21]設定!$D25,[21]第３表!$C$80:$C$136,0),4),[21]設定!$H25))</f>
        <v>13.2</v>
      </c>
      <c r="I11" s="54">
        <f>IF($D11="","",IF([21]設定!$H25="",INDEX([21]第３表!$F$80:$Q$136,MATCH([21]設定!$D25,[21]第３表!$C$80:$C$136,0),5),[21]設定!$H25))</f>
        <v>20.100000000000001</v>
      </c>
      <c r="J11" s="54">
        <f>IF($D11="","",IF([21]設定!$H25="",INDEX([21]第３表!$F$80:$Q$136,MATCH([21]設定!$D25,[21]第３表!$C$80:$C$136,0),6),[21]設定!$H25))</f>
        <v>170.2</v>
      </c>
      <c r="K11" s="54">
        <f>IF($D11="","",IF([21]設定!$H25="",INDEX([21]第３表!$F$80:$Q$136,MATCH([21]設定!$D25,[21]第３表!$C$80:$C$136,0),7),[21]設定!$H25))</f>
        <v>152.9</v>
      </c>
      <c r="L11" s="55">
        <f>IF($D11="","",IF([21]設定!$H25="",INDEX([21]第３表!$F$80:$Q$136,MATCH([21]設定!$D25,[21]第３表!$C$80:$C$136,0),8),[21]設定!$H25))</f>
        <v>17.3</v>
      </c>
      <c r="M11" s="56">
        <f>IF($D11="","",IF([21]設定!$H25="",INDEX([21]第３表!$F$80:$Q$136,MATCH([21]設定!$D25,[21]第３表!$C$80:$C$136,0),9),[21]設定!$H25))</f>
        <v>18.8</v>
      </c>
      <c r="N11" s="56">
        <f>IF($D11="","",IF([21]設定!$H25="",INDEX([21]第３表!$F$80:$Q$136,MATCH([21]設定!$D25,[21]第３表!$C$80:$C$136,0),10),[21]設定!$H25))</f>
        <v>144.1</v>
      </c>
      <c r="O11" s="56">
        <f>IF($D11="","",IF([21]設定!$H25="",INDEX([21]第３表!$F$80:$Q$136,MATCH([21]設定!$D25,[21]第３表!$C$80:$C$136,0),11),[21]設定!$H25))</f>
        <v>136.69999999999999</v>
      </c>
      <c r="P11" s="57">
        <f>IF($D11="","",IF([21]設定!$H25="",INDEX([21]第３表!$F$80:$Q$136,MATCH([21]設定!$D25,[21]第３表!$C$80:$C$136,0),12),[21]設定!$H25))</f>
        <v>7.4</v>
      </c>
    </row>
    <row r="12" spans="1:18" s="8" customFormat="1" ht="17.25" customHeight="1" x14ac:dyDescent="0.45">
      <c r="B12" s="49" t="str">
        <f>+[22]第５表!B12</f>
        <v>F</v>
      </c>
      <c r="C12" s="50"/>
      <c r="D12" s="58" t="str">
        <f>+[22]第５表!D12</f>
        <v>電気・ガス・熱供給・水道業</v>
      </c>
      <c r="E12" s="52">
        <f>IF($D12="","",IF([21]設定!$H26="",INDEX([21]第３表!$F$80:$Q$136,MATCH([21]設定!$D26,[21]第３表!$C$80:$C$136,0),1),[21]設定!$H26))</f>
        <v>18.399999999999999</v>
      </c>
      <c r="F12" s="52">
        <f>IF($D12="","",IF([21]設定!$H26="",INDEX([21]第３表!$F$80:$Q$136,MATCH([21]設定!$D26,[21]第３表!$C$80:$C$136,0),2),[21]設定!$H26))</f>
        <v>155.19999999999999</v>
      </c>
      <c r="G12" s="52">
        <f>IF($D12="","",IF([21]設定!$H26="",INDEX([21]第３表!$F$80:$Q$136,MATCH([21]設定!$D26,[21]第３表!$C$80:$C$136,0),3),[21]設定!$H26))</f>
        <v>139.9</v>
      </c>
      <c r="H12" s="53">
        <f>IF($D12="","",IF([21]設定!$H26="",INDEX([21]第３表!$F$80:$Q$136,MATCH([21]設定!$D26,[21]第３表!$C$80:$C$136,0),4),[21]設定!$H26))</f>
        <v>15.3</v>
      </c>
      <c r="I12" s="54">
        <f>IF($D12="","",IF([21]設定!$H26="",INDEX([21]第３表!$F$80:$Q$136,MATCH([21]設定!$D26,[21]第３表!$C$80:$C$136,0),5),[21]設定!$H26))</f>
        <v>18.5</v>
      </c>
      <c r="J12" s="54">
        <f>IF($D12="","",IF([21]設定!$H26="",INDEX([21]第３表!$F$80:$Q$136,MATCH([21]設定!$D26,[21]第３表!$C$80:$C$136,0),6),[21]設定!$H26))</f>
        <v>159.69999999999999</v>
      </c>
      <c r="K12" s="54">
        <f>IF($D12="","",IF([21]設定!$H26="",INDEX([21]第３表!$F$80:$Q$136,MATCH([21]設定!$D26,[21]第３表!$C$80:$C$136,0),7),[21]設定!$H26))</f>
        <v>142.6</v>
      </c>
      <c r="L12" s="55">
        <f>IF($D12="","",IF([21]設定!$H26="",INDEX([21]第３表!$F$80:$Q$136,MATCH([21]設定!$D26,[21]第３表!$C$80:$C$136,0),8),[21]設定!$H26))</f>
        <v>17.100000000000001</v>
      </c>
      <c r="M12" s="56">
        <f>IF($D12="","",IF([21]設定!$H26="",INDEX([21]第３表!$F$80:$Q$136,MATCH([21]設定!$D26,[21]第３表!$C$80:$C$136,0),9),[21]設定!$H26))</f>
        <v>17.600000000000001</v>
      </c>
      <c r="N12" s="56">
        <f>IF($D12="","",IF([21]設定!$H26="",INDEX([21]第３表!$F$80:$Q$136,MATCH([21]設定!$D26,[21]第３表!$C$80:$C$136,0),10),[21]設定!$H26))</f>
        <v>125.6</v>
      </c>
      <c r="O12" s="56">
        <f>IF($D12="","",IF([21]設定!$H26="",INDEX([21]第３表!$F$80:$Q$136,MATCH([21]設定!$D26,[21]第３表!$C$80:$C$136,0),11),[21]設定!$H26))</f>
        <v>121.9</v>
      </c>
      <c r="P12" s="57">
        <f>IF($D12="","",IF([21]設定!$H26="",INDEX([21]第３表!$F$80:$Q$136,MATCH([21]設定!$D26,[21]第３表!$C$80:$C$136,0),12),[21]設定!$H26))</f>
        <v>3.7</v>
      </c>
    </row>
    <row r="13" spans="1:18" s="8" customFormat="1" ht="17.25" customHeight="1" x14ac:dyDescent="0.45">
      <c r="B13" s="49" t="str">
        <f>+[22]第５表!B13</f>
        <v>G</v>
      </c>
      <c r="C13" s="50"/>
      <c r="D13" s="51" t="str">
        <f>+[22]第５表!D13</f>
        <v>情報通信業</v>
      </c>
      <c r="E13" s="52">
        <f>IF($D13="","",IF([21]設定!$H27="",INDEX([21]第３表!$F$80:$Q$136,MATCH([21]設定!$D27,[21]第３表!$C$80:$C$136,0),1),[21]設定!$H27))</f>
        <v>19.7</v>
      </c>
      <c r="F13" s="52">
        <f>IF($D13="","",IF([21]設定!$H27="",INDEX([21]第３表!$F$80:$Q$136,MATCH([21]設定!$D27,[21]第３表!$C$80:$C$136,0),2),[21]設定!$H27))</f>
        <v>159.69999999999999</v>
      </c>
      <c r="G13" s="52">
        <f>IF($D13="","",IF([21]設定!$H27="",INDEX([21]第３表!$F$80:$Q$136,MATCH([21]設定!$D27,[21]第３表!$C$80:$C$136,0),3),[21]設定!$H27))</f>
        <v>147.4</v>
      </c>
      <c r="H13" s="53">
        <f>IF($D13="","",IF([21]設定!$H27="",INDEX([21]第３表!$F$80:$Q$136,MATCH([21]設定!$D27,[21]第３表!$C$80:$C$136,0),4),[21]設定!$H27))</f>
        <v>12.3</v>
      </c>
      <c r="I13" s="54">
        <f>IF($D13="","",IF([21]設定!$H27="",INDEX([21]第３表!$F$80:$Q$136,MATCH([21]設定!$D27,[21]第３表!$C$80:$C$136,0),5),[21]設定!$H27))</f>
        <v>20</v>
      </c>
      <c r="J13" s="54">
        <f>IF($D13="","",IF([21]設定!$H27="",INDEX([21]第３表!$F$80:$Q$136,MATCH([21]設定!$D27,[21]第３表!$C$80:$C$136,0),6),[21]設定!$H27))</f>
        <v>163.80000000000001</v>
      </c>
      <c r="K13" s="54">
        <f>IF($D13="","",IF([21]設定!$H27="",INDEX([21]第３表!$F$80:$Q$136,MATCH([21]設定!$D27,[21]第３表!$C$80:$C$136,0),7),[21]設定!$H27))</f>
        <v>151.19999999999999</v>
      </c>
      <c r="L13" s="55">
        <f>IF($D13="","",IF([21]設定!$H27="",INDEX([21]第３表!$F$80:$Q$136,MATCH([21]設定!$D27,[21]第３表!$C$80:$C$136,0),8),[21]設定!$H27))</f>
        <v>12.6</v>
      </c>
      <c r="M13" s="56">
        <f>IF($D13="","",IF([21]設定!$H27="",INDEX([21]第３表!$F$80:$Q$136,MATCH([21]設定!$D27,[21]第３表!$C$80:$C$136,0),9),[21]設定!$H27))</f>
        <v>19</v>
      </c>
      <c r="N13" s="56">
        <f>IF($D13="","",IF([21]設定!$H27="",INDEX([21]第３表!$F$80:$Q$136,MATCH([21]設定!$D27,[21]第３表!$C$80:$C$136,0),10),[21]設定!$H27))</f>
        <v>150.9</v>
      </c>
      <c r="O13" s="56">
        <f>IF($D13="","",IF([21]設定!$H27="",INDEX([21]第３表!$F$80:$Q$136,MATCH([21]設定!$D27,[21]第３表!$C$80:$C$136,0),11),[21]設定!$H27))</f>
        <v>139.19999999999999</v>
      </c>
      <c r="P13" s="57">
        <f>IF($D13="","",IF([21]設定!$H27="",INDEX([21]第３表!$F$80:$Q$136,MATCH([21]設定!$D27,[21]第３表!$C$80:$C$136,0),12),[21]設定!$H27))</f>
        <v>11.7</v>
      </c>
    </row>
    <row r="14" spans="1:18" s="8" customFormat="1" ht="17.25" customHeight="1" x14ac:dyDescent="0.45">
      <c r="B14" s="49" t="str">
        <f>+[22]第５表!B14</f>
        <v>H</v>
      </c>
      <c r="C14" s="50"/>
      <c r="D14" s="51" t="str">
        <f>+[22]第５表!D14</f>
        <v>運輸業，郵便業</v>
      </c>
      <c r="E14" s="52">
        <f>IF($D14="","",IF([21]設定!$H28="",INDEX([21]第３表!$F$80:$Q$136,MATCH([21]設定!$D28,[21]第３表!$C$80:$C$136,0),1),[21]設定!$H28))</f>
        <v>21.2</v>
      </c>
      <c r="F14" s="52">
        <f>IF($D14="","",IF([21]設定!$H28="",INDEX([21]第３表!$F$80:$Q$136,MATCH([21]設定!$D28,[21]第３表!$C$80:$C$136,0),2),[21]設定!$H28))</f>
        <v>192.7</v>
      </c>
      <c r="G14" s="52">
        <f>IF($D14="","",IF([21]設定!$H28="",INDEX([21]第３表!$F$80:$Q$136,MATCH([21]設定!$D28,[21]第３表!$C$80:$C$136,0),3),[21]設定!$H28))</f>
        <v>160.5</v>
      </c>
      <c r="H14" s="53">
        <f>IF($D14="","",IF([21]設定!$H28="",INDEX([21]第３表!$F$80:$Q$136,MATCH([21]設定!$D28,[21]第３表!$C$80:$C$136,0),4),[21]設定!$H28))</f>
        <v>32.200000000000003</v>
      </c>
      <c r="I14" s="54">
        <f>IF($D14="","",IF([21]設定!$H28="",INDEX([21]第３表!$F$80:$Q$136,MATCH([21]設定!$D28,[21]第３表!$C$80:$C$136,0),5),[21]設定!$H28))</f>
        <v>21.3</v>
      </c>
      <c r="J14" s="54">
        <f>IF($D14="","",IF([21]設定!$H28="",INDEX([21]第３表!$F$80:$Q$136,MATCH([21]設定!$D28,[21]第３表!$C$80:$C$136,0),6),[21]設定!$H28))</f>
        <v>197.3</v>
      </c>
      <c r="K14" s="54">
        <f>IF($D14="","",IF([21]設定!$H28="",INDEX([21]第３表!$F$80:$Q$136,MATCH([21]設定!$D28,[21]第３表!$C$80:$C$136,0),7),[21]設定!$H28))</f>
        <v>162.6</v>
      </c>
      <c r="L14" s="55">
        <f>IF($D14="","",IF([21]設定!$H28="",INDEX([21]第３表!$F$80:$Q$136,MATCH([21]設定!$D28,[21]第３表!$C$80:$C$136,0),8),[21]設定!$H28))</f>
        <v>34.700000000000003</v>
      </c>
      <c r="M14" s="56">
        <f>IF($D14="","",IF([21]設定!$H28="",INDEX([21]第３表!$F$80:$Q$136,MATCH([21]設定!$D28,[21]第３表!$C$80:$C$136,0),9),[21]設定!$H28))</f>
        <v>20.100000000000001</v>
      </c>
      <c r="N14" s="56">
        <f>IF($D14="","",IF([21]設定!$H28="",INDEX([21]第３表!$F$80:$Q$136,MATCH([21]設定!$D28,[21]第３表!$C$80:$C$136,0),10),[21]設定!$H28))</f>
        <v>144.19999999999999</v>
      </c>
      <c r="O14" s="56">
        <f>IF($D14="","",IF([21]設定!$H28="",INDEX([21]第３表!$F$80:$Q$136,MATCH([21]設定!$D28,[21]第３表!$C$80:$C$136,0),11),[21]設定!$H28))</f>
        <v>138.19999999999999</v>
      </c>
      <c r="P14" s="57">
        <f>IF($D14="","",IF([21]設定!$H28="",INDEX([21]第３表!$F$80:$Q$136,MATCH([21]設定!$D28,[21]第３表!$C$80:$C$136,0),12),[21]設定!$H28))</f>
        <v>6</v>
      </c>
    </row>
    <row r="15" spans="1:18" s="8" customFormat="1" ht="17.25" customHeight="1" x14ac:dyDescent="0.45">
      <c r="B15" s="49" t="str">
        <f>+[22]第５表!B15</f>
        <v>I</v>
      </c>
      <c r="C15" s="50"/>
      <c r="D15" s="51" t="str">
        <f>+[22]第５表!D15</f>
        <v>卸売業，小売業</v>
      </c>
      <c r="E15" s="52">
        <f>IF($D15="","",IF([21]設定!$H29="",INDEX([21]第３表!$F$80:$Q$136,MATCH([21]設定!$D29,[21]第３表!$C$80:$C$136,0),1),[21]設定!$H29))</f>
        <v>17.899999999999999</v>
      </c>
      <c r="F15" s="52">
        <f>IF($D15="","",IF([21]設定!$H29="",INDEX([21]第３表!$F$80:$Q$136,MATCH([21]設定!$D29,[21]第３表!$C$80:$C$136,0),2),[21]設定!$H29))</f>
        <v>131.6</v>
      </c>
      <c r="G15" s="52">
        <f>IF($D15="","",IF([21]設定!$H29="",INDEX([21]第３表!$F$80:$Q$136,MATCH([21]設定!$D29,[21]第３表!$C$80:$C$136,0),3),[21]設定!$H29))</f>
        <v>123.8</v>
      </c>
      <c r="H15" s="53">
        <f>IF($D15="","",IF([21]設定!$H29="",INDEX([21]第３表!$F$80:$Q$136,MATCH([21]設定!$D29,[21]第３表!$C$80:$C$136,0),4),[21]設定!$H29))</f>
        <v>7.8</v>
      </c>
      <c r="I15" s="54">
        <f>IF($D15="","",IF([21]設定!$H29="",INDEX([21]第３表!$F$80:$Q$136,MATCH([21]設定!$D29,[21]第３表!$C$80:$C$136,0),5),[21]設定!$H29))</f>
        <v>18.8</v>
      </c>
      <c r="J15" s="54">
        <f>IF($D15="","",IF([21]設定!$H29="",INDEX([21]第３表!$F$80:$Q$136,MATCH([21]設定!$D29,[21]第３表!$C$80:$C$136,0),6),[21]設定!$H29))</f>
        <v>152.9</v>
      </c>
      <c r="K15" s="54">
        <f>IF($D15="","",IF([21]設定!$H29="",INDEX([21]第３表!$F$80:$Q$136,MATCH([21]設定!$D29,[21]第３表!$C$80:$C$136,0),7),[21]設定!$H29))</f>
        <v>140.5</v>
      </c>
      <c r="L15" s="55">
        <f>IF($D15="","",IF([21]設定!$H29="",INDEX([21]第３表!$F$80:$Q$136,MATCH([21]設定!$D29,[21]第３表!$C$80:$C$136,0),8),[21]設定!$H29))</f>
        <v>12.4</v>
      </c>
      <c r="M15" s="56">
        <f>IF($D15="","",IF([21]設定!$H29="",INDEX([21]第３表!$F$80:$Q$136,MATCH([21]設定!$D29,[21]第３表!$C$80:$C$136,0),9),[21]設定!$H29))</f>
        <v>17.100000000000001</v>
      </c>
      <c r="N15" s="56">
        <f>IF($D15="","",IF([21]設定!$H29="",INDEX([21]第３表!$F$80:$Q$136,MATCH([21]設定!$D29,[21]第３表!$C$80:$C$136,0),10),[21]設定!$H29))</f>
        <v>109.9</v>
      </c>
      <c r="O15" s="56">
        <f>IF($D15="","",IF([21]設定!$H29="",INDEX([21]第３表!$F$80:$Q$136,MATCH([21]設定!$D29,[21]第３表!$C$80:$C$136,0),11),[21]設定!$H29))</f>
        <v>106.8</v>
      </c>
      <c r="P15" s="57">
        <f>IF($D15="","",IF([21]設定!$H29="",INDEX([21]第３表!$F$80:$Q$136,MATCH([21]設定!$D29,[21]第３表!$C$80:$C$136,0),12),[21]設定!$H29))</f>
        <v>3.1</v>
      </c>
    </row>
    <row r="16" spans="1:18" s="8" customFormat="1" ht="17.25" customHeight="1" x14ac:dyDescent="0.45">
      <c r="B16" s="49" t="str">
        <f>+[22]第５表!B16</f>
        <v>J</v>
      </c>
      <c r="C16" s="50"/>
      <c r="D16" s="51" t="str">
        <f>+[22]第５表!D16</f>
        <v>金融業，保険業</v>
      </c>
      <c r="E16" s="52">
        <f>IF($D16="","",IF([21]設定!$H30="",INDEX([21]第３表!$F$80:$Q$136,MATCH([21]設定!$D30,[21]第３表!$C$80:$C$136,0),1),[21]設定!$H30))</f>
        <v>18.2</v>
      </c>
      <c r="F16" s="52">
        <f>IF($D16="","",IF([21]設定!$H30="",INDEX([21]第３表!$F$80:$Q$136,MATCH([21]設定!$D30,[21]第３表!$C$80:$C$136,0),2),[21]設定!$H30))</f>
        <v>139.5</v>
      </c>
      <c r="G16" s="52">
        <f>IF($D16="","",IF([21]設定!$H30="",INDEX([21]第３表!$F$80:$Q$136,MATCH([21]設定!$D30,[21]第３表!$C$80:$C$136,0),3),[21]設定!$H30))</f>
        <v>133.1</v>
      </c>
      <c r="H16" s="53">
        <f>IF($D16="","",IF([21]設定!$H30="",INDEX([21]第３表!$F$80:$Q$136,MATCH([21]設定!$D30,[21]第３表!$C$80:$C$136,0),4),[21]設定!$H30))</f>
        <v>6.4</v>
      </c>
      <c r="I16" s="54">
        <f>IF($D16="","",IF([21]設定!$H30="",INDEX([21]第３表!$F$80:$Q$136,MATCH([21]設定!$D30,[21]第３表!$C$80:$C$136,0),5),[21]設定!$H30))</f>
        <v>18.899999999999999</v>
      </c>
      <c r="J16" s="54">
        <f>IF($D16="","",IF([21]設定!$H30="",INDEX([21]第３表!$F$80:$Q$136,MATCH([21]設定!$D30,[21]第３表!$C$80:$C$136,0),6),[21]設定!$H30))</f>
        <v>152.6</v>
      </c>
      <c r="K16" s="54">
        <f>IF($D16="","",IF([21]設定!$H30="",INDEX([21]第３表!$F$80:$Q$136,MATCH([21]設定!$D30,[21]第３表!$C$80:$C$136,0),7),[21]設定!$H30))</f>
        <v>143.30000000000001</v>
      </c>
      <c r="L16" s="55">
        <f>IF($D16="","",IF([21]設定!$H30="",INDEX([21]第３表!$F$80:$Q$136,MATCH([21]設定!$D30,[21]第３表!$C$80:$C$136,0),8),[21]設定!$H30))</f>
        <v>9.3000000000000007</v>
      </c>
      <c r="M16" s="56">
        <f>IF($D16="","",IF([21]設定!$H30="",INDEX([21]第３表!$F$80:$Q$136,MATCH([21]設定!$D30,[21]第３表!$C$80:$C$136,0),9),[21]設定!$H30))</f>
        <v>17.7</v>
      </c>
      <c r="N16" s="56">
        <f>IF($D16="","",IF([21]設定!$H30="",INDEX([21]第３表!$F$80:$Q$136,MATCH([21]設定!$D30,[21]第３表!$C$80:$C$136,0),10),[21]設定!$H30))</f>
        <v>128.6</v>
      </c>
      <c r="O16" s="56">
        <f>IF($D16="","",IF([21]設定!$H30="",INDEX([21]第３表!$F$80:$Q$136,MATCH([21]設定!$D30,[21]第３表!$C$80:$C$136,0),11),[21]設定!$H30))</f>
        <v>124.7</v>
      </c>
      <c r="P16" s="57">
        <f>IF($D16="","",IF([21]設定!$H30="",INDEX([21]第３表!$F$80:$Q$136,MATCH([21]設定!$D30,[21]第３表!$C$80:$C$136,0),12),[21]設定!$H30))</f>
        <v>3.9</v>
      </c>
    </row>
    <row r="17" spans="2:16" s="8" customFormat="1" ht="17.25" customHeight="1" x14ac:dyDescent="0.45">
      <c r="B17" s="49" t="str">
        <f>+[22]第５表!B17</f>
        <v>K</v>
      </c>
      <c r="C17" s="50"/>
      <c r="D17" s="51" t="str">
        <f>+[22]第５表!D17</f>
        <v>不動産業，物品賃貸業</v>
      </c>
      <c r="E17" s="52">
        <f>IF($D17="","",IF([21]設定!$H31="",INDEX([21]第３表!$F$80:$Q$136,MATCH([21]設定!$D31,[21]第３表!$C$80:$C$136,0),1),[21]設定!$H31))</f>
        <v>17.399999999999999</v>
      </c>
      <c r="F17" s="52">
        <f>IF($D17="","",IF([21]設定!$H31="",INDEX([21]第３表!$F$80:$Q$136,MATCH([21]設定!$D31,[21]第３表!$C$80:$C$136,0),2),[21]設定!$H31))</f>
        <v>119.5</v>
      </c>
      <c r="G17" s="52">
        <f>IF($D17="","",IF([21]設定!$H31="",INDEX([21]第３表!$F$80:$Q$136,MATCH([21]設定!$D31,[21]第３表!$C$80:$C$136,0),3),[21]設定!$H31))</f>
        <v>118</v>
      </c>
      <c r="H17" s="52">
        <f>IF($D17="","",IF([21]設定!$H31="",INDEX([21]第３表!$F$80:$Q$136,MATCH([21]設定!$D31,[21]第３表!$C$80:$C$136,0),4),[21]設定!$H31))</f>
        <v>1.5</v>
      </c>
      <c r="I17" s="54">
        <f>IF($D17="","",IF([21]設定!$H31="",INDEX([21]第３表!$F$80:$Q$136,MATCH([21]設定!$D31,[21]第３表!$C$80:$C$136,0),5),[21]設定!$H31))</f>
        <v>18</v>
      </c>
      <c r="J17" s="54">
        <f>IF($D17="","",IF([21]設定!$H31="",INDEX([21]第３表!$F$80:$Q$136,MATCH([21]設定!$D31,[21]第３表!$C$80:$C$136,0),6),[21]設定!$H31))</f>
        <v>131</v>
      </c>
      <c r="K17" s="54">
        <f>IF($D17="","",IF([21]設定!$H31="",INDEX([21]第３表!$F$80:$Q$136,MATCH([21]設定!$D31,[21]第３表!$C$80:$C$136,0),7),[21]設定!$H31))</f>
        <v>128.69999999999999</v>
      </c>
      <c r="L17" s="55">
        <f>IF($D17="","",IF([21]設定!$H31="",INDEX([21]第３表!$F$80:$Q$136,MATCH([21]設定!$D31,[21]第３表!$C$80:$C$136,0),8),[21]設定!$H31))</f>
        <v>2.2999999999999998</v>
      </c>
      <c r="M17" s="56">
        <f>IF($D17="","",IF([21]設定!$H31="",INDEX([21]第３表!$F$80:$Q$136,MATCH([21]設定!$D31,[21]第３表!$C$80:$C$136,0),9),[21]設定!$H31))</f>
        <v>16.5</v>
      </c>
      <c r="N17" s="56">
        <f>IF($D17="","",IF([21]設定!$H31="",INDEX([21]第３表!$F$80:$Q$136,MATCH([21]設定!$D31,[21]第３表!$C$80:$C$136,0),10),[21]設定!$H31))</f>
        <v>105.1</v>
      </c>
      <c r="O17" s="56">
        <f>IF($D17="","",IF([21]設定!$H31="",INDEX([21]第３表!$F$80:$Q$136,MATCH([21]設定!$D31,[21]第３表!$C$80:$C$136,0),11),[21]設定!$H31))</f>
        <v>104.6</v>
      </c>
      <c r="P17" s="57">
        <f>IF($D17="","",IF([21]設定!$H31="",INDEX([21]第３表!$F$80:$Q$136,MATCH([21]設定!$D31,[21]第３表!$C$80:$C$136,0),12),[21]設定!$H31))</f>
        <v>0.5</v>
      </c>
    </row>
    <row r="18" spans="2:16" s="8" customFormat="1" ht="17.25" customHeight="1" x14ac:dyDescent="0.45">
      <c r="B18" s="49" t="str">
        <f>+[22]第５表!B18</f>
        <v>L</v>
      </c>
      <c r="C18" s="50"/>
      <c r="D18" s="59" t="str">
        <f>+[22]第５表!D18</f>
        <v>学術研究，専門・技術サービス業</v>
      </c>
      <c r="E18" s="52">
        <f>IF($D18="","",IF([21]設定!$H32="",INDEX([21]第３表!$F$80:$Q$136,MATCH([21]設定!$D32,[21]第３表!$C$80:$C$136,0),1),[21]設定!$H32))</f>
        <v>18.899999999999999</v>
      </c>
      <c r="F18" s="52">
        <f>IF($D18="","",IF([21]設定!$H32="",INDEX([21]第３表!$F$80:$Q$136,MATCH([21]設定!$D32,[21]第３表!$C$80:$C$136,0),2),[21]設定!$H32))</f>
        <v>147.6</v>
      </c>
      <c r="G18" s="52">
        <f>IF($D18="","",IF([21]設定!$H32="",INDEX([21]第３表!$F$80:$Q$136,MATCH([21]設定!$D32,[21]第３表!$C$80:$C$136,0),3),[21]設定!$H32))</f>
        <v>139.4</v>
      </c>
      <c r="H18" s="53">
        <f>IF($D18="","",IF([21]設定!$H32="",INDEX([21]第３表!$F$80:$Q$136,MATCH([21]設定!$D32,[21]第３表!$C$80:$C$136,0),4),[21]設定!$H32))</f>
        <v>8.1999999999999993</v>
      </c>
      <c r="I18" s="54">
        <f>IF($D18="","",IF([21]設定!$H32="",INDEX([21]第３表!$F$80:$Q$136,MATCH([21]設定!$D32,[21]第３表!$C$80:$C$136,0),5),[21]設定!$H32))</f>
        <v>18.7</v>
      </c>
      <c r="J18" s="54">
        <f>IF($D18="","",IF([21]設定!$H32="",INDEX([21]第３表!$F$80:$Q$136,MATCH([21]設定!$D32,[21]第３表!$C$80:$C$136,0),6),[21]設定!$H32))</f>
        <v>154.5</v>
      </c>
      <c r="K18" s="54">
        <f>IF($D18="","",IF([21]設定!$H32="",INDEX([21]第３表!$F$80:$Q$136,MATCH([21]設定!$D32,[21]第３表!$C$80:$C$136,0),7),[21]設定!$H32))</f>
        <v>144.9</v>
      </c>
      <c r="L18" s="55">
        <f>IF($D18="","",IF([21]設定!$H32="",INDEX([21]第３表!$F$80:$Q$136,MATCH([21]設定!$D32,[21]第３表!$C$80:$C$136,0),8),[21]設定!$H32))</f>
        <v>9.6</v>
      </c>
      <c r="M18" s="56">
        <f>IF($D18="","",IF([21]設定!$H32="",INDEX([21]第３表!$F$80:$Q$136,MATCH([21]設定!$D32,[21]第３表!$C$80:$C$136,0),9),[21]設定!$H32))</f>
        <v>19.100000000000001</v>
      </c>
      <c r="N18" s="56">
        <f>IF($D18="","",IF([21]設定!$H32="",INDEX([21]第３表!$F$80:$Q$136,MATCH([21]設定!$D32,[21]第３表!$C$80:$C$136,0),10),[21]設定!$H32))</f>
        <v>136</v>
      </c>
      <c r="O18" s="56">
        <f>IF($D18="","",IF([21]設定!$H32="",INDEX([21]第３表!$F$80:$Q$136,MATCH([21]設定!$D32,[21]第３表!$C$80:$C$136,0),11),[21]設定!$H32))</f>
        <v>130.19999999999999</v>
      </c>
      <c r="P18" s="57">
        <f>IF($D18="","",IF([21]設定!$H32="",INDEX([21]第３表!$F$80:$Q$136,MATCH([21]設定!$D32,[21]第３表!$C$80:$C$136,0),12),[21]設定!$H32))</f>
        <v>5.8</v>
      </c>
    </row>
    <row r="19" spans="2:16" s="8" customFormat="1" ht="17.25" customHeight="1" x14ac:dyDescent="0.45">
      <c r="B19" s="49" t="str">
        <f>+[22]第５表!B19</f>
        <v>M</v>
      </c>
      <c r="C19" s="50"/>
      <c r="D19" s="60" t="str">
        <f>+[22]第５表!D19</f>
        <v>宿泊業，飲食サービス業</v>
      </c>
      <c r="E19" s="52">
        <f>IF($D19="","",IF([21]設定!$H33="",INDEX([21]第３表!$F$80:$Q$136,MATCH([21]設定!$D33,[21]第３表!$C$80:$C$136,0),1),[21]設定!$H33))</f>
        <v>13.4</v>
      </c>
      <c r="F19" s="52">
        <f>IF($D19="","",IF([21]設定!$H33="",INDEX([21]第３表!$F$80:$Q$136,MATCH([21]設定!$D33,[21]第３表!$C$80:$C$136,0),2),[21]設定!$H33))</f>
        <v>76</v>
      </c>
      <c r="G19" s="52">
        <f>IF($D19="","",IF([21]設定!$H33="",INDEX([21]第３表!$F$80:$Q$136,MATCH([21]設定!$D33,[21]第３表!$C$80:$C$136,0),3),[21]設定!$H33))</f>
        <v>73.099999999999994</v>
      </c>
      <c r="H19" s="53">
        <f>IF($D19="","",IF([21]設定!$H33="",INDEX([21]第３表!$F$80:$Q$136,MATCH([21]設定!$D33,[21]第３表!$C$80:$C$136,0),4),[21]設定!$H33))</f>
        <v>2.9</v>
      </c>
      <c r="I19" s="54">
        <f>IF($D19="","",IF([21]設定!$H33="",INDEX([21]第３表!$F$80:$Q$136,MATCH([21]設定!$D33,[21]第３表!$C$80:$C$136,0),5),[21]設定!$H33))</f>
        <v>15</v>
      </c>
      <c r="J19" s="54">
        <f>IF($D19="","",IF([21]設定!$H33="",INDEX([21]第３表!$F$80:$Q$136,MATCH([21]設定!$D33,[21]第３表!$C$80:$C$136,0),6),[21]設定!$H33))</f>
        <v>89.7</v>
      </c>
      <c r="K19" s="54">
        <f>IF($D19="","",IF([21]設定!$H33="",INDEX([21]第３表!$F$80:$Q$136,MATCH([21]設定!$D33,[21]第３表!$C$80:$C$136,0),7),[21]設定!$H33))</f>
        <v>83.6</v>
      </c>
      <c r="L19" s="55">
        <f>IF($D19="","",IF([21]設定!$H33="",INDEX([21]第３表!$F$80:$Q$136,MATCH([21]設定!$D33,[21]第３表!$C$80:$C$136,0),8),[21]設定!$H33))</f>
        <v>6.1</v>
      </c>
      <c r="M19" s="56">
        <f>IF($D19="","",IF([21]設定!$H33="",INDEX([21]第３表!$F$80:$Q$136,MATCH([21]設定!$D33,[21]第３表!$C$80:$C$136,0),9),[21]設定!$H33))</f>
        <v>12.6</v>
      </c>
      <c r="N19" s="56">
        <f>IF($D19="","",IF([21]設定!$H33="",INDEX([21]第３表!$F$80:$Q$136,MATCH([21]設定!$D33,[21]第３表!$C$80:$C$136,0),10),[21]設定!$H33))</f>
        <v>68.400000000000006</v>
      </c>
      <c r="O19" s="56">
        <f>IF($D19="","",IF([21]設定!$H33="",INDEX([21]第３表!$F$80:$Q$136,MATCH([21]設定!$D33,[21]第３表!$C$80:$C$136,0),11),[21]設定!$H33))</f>
        <v>67.3</v>
      </c>
      <c r="P19" s="57">
        <f>IF($D19="","",IF([21]設定!$H33="",INDEX([21]第３表!$F$80:$Q$136,MATCH([21]設定!$D33,[21]第３表!$C$80:$C$136,0),12),[21]設定!$H33))</f>
        <v>1.1000000000000001</v>
      </c>
    </row>
    <row r="20" spans="2:16" s="8" customFormat="1" ht="17.25" customHeight="1" x14ac:dyDescent="0.45">
      <c r="B20" s="49" t="str">
        <f>+[22]第５表!B20</f>
        <v>N</v>
      </c>
      <c r="C20" s="50"/>
      <c r="D20" s="61" t="str">
        <f>+[22]第５表!D20</f>
        <v>生活関連サービス業，娯楽業</v>
      </c>
      <c r="E20" s="52">
        <f>IF($D20="","",IF([21]設定!$H34="",INDEX([21]第３表!$F$80:$Q$136,MATCH([21]設定!$D34,[21]第３表!$C$80:$C$136,0),1),[21]設定!$H34))</f>
        <v>16.8</v>
      </c>
      <c r="F20" s="52">
        <f>IF($D20="","",IF([21]設定!$H34="",INDEX([21]第３表!$F$80:$Q$136,MATCH([21]設定!$D34,[21]第３表!$C$80:$C$136,0),2),[21]設定!$H34))</f>
        <v>130.9</v>
      </c>
      <c r="G20" s="52">
        <f>IF($D20="","",IF([21]設定!$H34="",INDEX([21]第３表!$F$80:$Q$136,MATCH([21]設定!$D34,[21]第３表!$C$80:$C$136,0),3),[21]設定!$H34))</f>
        <v>123.1</v>
      </c>
      <c r="H20" s="53">
        <f>IF($D20="","",IF([21]設定!$H34="",INDEX([21]第３表!$F$80:$Q$136,MATCH([21]設定!$D34,[21]第３表!$C$80:$C$136,0),4),[21]設定!$H34))</f>
        <v>7.8</v>
      </c>
      <c r="I20" s="54">
        <f>IF($D20="","",IF([21]設定!$H34="",INDEX([21]第３表!$F$80:$Q$136,MATCH([21]設定!$D34,[21]第３表!$C$80:$C$136,0),5),[21]設定!$H34))</f>
        <v>16.899999999999999</v>
      </c>
      <c r="J20" s="54">
        <f>IF($D20="","",IF([21]設定!$H34="",INDEX([21]第３表!$F$80:$Q$136,MATCH([21]設定!$D34,[21]第３表!$C$80:$C$136,0),6),[21]設定!$H34))</f>
        <v>135.4</v>
      </c>
      <c r="K20" s="54">
        <f>IF($D20="","",IF([21]設定!$H34="",INDEX([21]第３表!$F$80:$Q$136,MATCH([21]設定!$D34,[21]第３表!$C$80:$C$136,0),7),[21]設定!$H34))</f>
        <v>125.9</v>
      </c>
      <c r="L20" s="55">
        <f>IF($D20="","",IF([21]設定!$H34="",INDEX([21]第３表!$F$80:$Q$136,MATCH([21]設定!$D34,[21]第３表!$C$80:$C$136,0),8),[21]設定!$H34))</f>
        <v>9.5</v>
      </c>
      <c r="M20" s="56">
        <f>IF($D20="","",IF([21]設定!$H34="",INDEX([21]第３表!$F$80:$Q$136,MATCH([21]設定!$D34,[21]第３表!$C$80:$C$136,0),9),[21]設定!$H34))</f>
        <v>16.5</v>
      </c>
      <c r="N20" s="56">
        <f>IF($D20="","",IF([21]設定!$H34="",INDEX([21]第３表!$F$80:$Q$136,MATCH([21]設定!$D34,[21]第３表!$C$80:$C$136,0),10),[21]設定!$H34))</f>
        <v>123.6</v>
      </c>
      <c r="O20" s="56">
        <f>IF($D20="","",IF([21]設定!$H34="",INDEX([21]第３表!$F$80:$Q$136,MATCH([21]設定!$D34,[21]第３表!$C$80:$C$136,0),11),[21]設定!$H34))</f>
        <v>118.5</v>
      </c>
      <c r="P20" s="57">
        <f>IF($D20="","",IF([21]設定!$H34="",INDEX([21]第３表!$F$80:$Q$136,MATCH([21]設定!$D34,[21]第３表!$C$80:$C$136,0),12),[21]設定!$H34))</f>
        <v>5.0999999999999996</v>
      </c>
    </row>
    <row r="21" spans="2:16" s="8" customFormat="1" ht="17.25" customHeight="1" x14ac:dyDescent="0.45">
      <c r="B21" s="49" t="str">
        <f>+[22]第５表!B21</f>
        <v>O</v>
      </c>
      <c r="C21" s="50"/>
      <c r="D21" s="51" t="str">
        <f>+[22]第５表!D21</f>
        <v>教育，学習支援業</v>
      </c>
      <c r="E21" s="52">
        <f>IF($D21="","",IF([21]設定!$H35="",INDEX([21]第３表!$F$80:$Q$136,MATCH([21]設定!$D35,[21]第３表!$C$80:$C$136,0),1),[21]設定!$H35))</f>
        <v>18.3</v>
      </c>
      <c r="F21" s="52">
        <f>IF($D21="","",IF([21]設定!$H35="",INDEX([21]第３表!$F$80:$Q$136,MATCH([21]設定!$D35,[21]第３表!$C$80:$C$136,0),2),[21]設定!$H35))</f>
        <v>153.19999999999999</v>
      </c>
      <c r="G21" s="52">
        <f>IF($D21="","",IF([21]設定!$H35="",INDEX([21]第３表!$F$80:$Q$136,MATCH([21]設定!$D35,[21]第３表!$C$80:$C$136,0),3),[21]設定!$H35))</f>
        <v>134.19999999999999</v>
      </c>
      <c r="H21" s="53">
        <f>IF($D21="","",IF([21]設定!$H35="",INDEX([21]第３表!$F$80:$Q$136,MATCH([21]設定!$D35,[21]第３表!$C$80:$C$136,0),4),[21]設定!$H35))</f>
        <v>19</v>
      </c>
      <c r="I21" s="54">
        <f>IF($D21="","",IF([21]設定!$H35="",INDEX([21]第３表!$F$80:$Q$136,MATCH([21]設定!$D35,[21]第３表!$C$80:$C$136,0),5),[21]設定!$H35))</f>
        <v>18.5</v>
      </c>
      <c r="J21" s="54">
        <f>IF($D21="","",IF([21]設定!$H35="",INDEX([21]第３表!$F$80:$Q$136,MATCH([21]設定!$D35,[21]第３表!$C$80:$C$136,0),6),[21]設定!$H35))</f>
        <v>161.80000000000001</v>
      </c>
      <c r="K21" s="54">
        <f>IF($D21="","",IF([21]設定!$H35="",INDEX([21]第３表!$F$80:$Q$136,MATCH([21]設定!$D35,[21]第３表!$C$80:$C$136,0),7),[21]設定!$H35))</f>
        <v>137.1</v>
      </c>
      <c r="L21" s="55">
        <f>IF($D21="","",IF([21]設定!$H35="",INDEX([21]第３表!$F$80:$Q$136,MATCH([21]設定!$D35,[21]第３表!$C$80:$C$136,0),8),[21]設定!$H35))</f>
        <v>24.7</v>
      </c>
      <c r="M21" s="56">
        <f>IF($D21="","",IF([21]設定!$H35="",INDEX([21]第３表!$F$80:$Q$136,MATCH([21]設定!$D35,[21]第３表!$C$80:$C$136,0),9),[21]設定!$H35))</f>
        <v>18.100000000000001</v>
      </c>
      <c r="N21" s="56">
        <f>IF($D21="","",IF([21]設定!$H35="",INDEX([21]第３表!$F$80:$Q$136,MATCH([21]設定!$D35,[21]第３表!$C$80:$C$136,0),10),[21]設定!$H35))</f>
        <v>146.69999999999999</v>
      </c>
      <c r="O21" s="56">
        <f>IF($D21="","",IF([21]設定!$H35="",INDEX([21]第３表!$F$80:$Q$136,MATCH([21]設定!$D35,[21]第３表!$C$80:$C$136,0),11),[21]設定!$H35))</f>
        <v>132</v>
      </c>
      <c r="P21" s="57">
        <f>IF($D21="","",IF([21]設定!$H35="",INDEX([21]第３表!$F$80:$Q$136,MATCH([21]設定!$D35,[21]第３表!$C$80:$C$136,0),12),[21]設定!$H35))</f>
        <v>14.7</v>
      </c>
    </row>
    <row r="22" spans="2:16" s="8" customFormat="1" ht="17.25" customHeight="1" x14ac:dyDescent="0.45">
      <c r="B22" s="49" t="str">
        <f>+[22]第５表!B22</f>
        <v>P</v>
      </c>
      <c r="C22" s="50"/>
      <c r="D22" s="51" t="str">
        <f>+[22]第５表!D22</f>
        <v>医療，福祉</v>
      </c>
      <c r="E22" s="52">
        <f>IF($D22="","",IF([21]設定!$H36="",INDEX([21]第３表!$F$80:$Q$136,MATCH([21]設定!$D36,[21]第３表!$C$80:$C$136,0),1),[21]設定!$H36))</f>
        <v>18.899999999999999</v>
      </c>
      <c r="F22" s="52">
        <f>IF($D22="","",IF([21]設定!$H36="",INDEX([21]第３表!$F$80:$Q$136,MATCH([21]設定!$D36,[21]第３表!$C$80:$C$136,0),2),[21]設定!$H36))</f>
        <v>140.80000000000001</v>
      </c>
      <c r="G22" s="52">
        <f>IF($D22="","",IF([21]設定!$H36="",INDEX([21]第３表!$F$80:$Q$136,MATCH([21]設定!$D36,[21]第３表!$C$80:$C$136,0),3),[21]設定!$H36))</f>
        <v>137</v>
      </c>
      <c r="H22" s="53">
        <f>IF($D22="","",IF([21]設定!$H36="",INDEX([21]第３表!$F$80:$Q$136,MATCH([21]設定!$D36,[21]第３表!$C$80:$C$136,0),4),[21]設定!$H36))</f>
        <v>3.8</v>
      </c>
      <c r="I22" s="54">
        <f>IF($D22="","",IF([21]設定!$H36="",INDEX([21]第３表!$F$80:$Q$136,MATCH([21]設定!$D36,[21]第３表!$C$80:$C$136,0),5),[21]設定!$H36))</f>
        <v>19.2</v>
      </c>
      <c r="J22" s="54">
        <f>IF($D22="","",IF([21]設定!$H36="",INDEX([21]第３表!$F$80:$Q$136,MATCH([21]設定!$D36,[21]第３表!$C$80:$C$136,0),6),[21]設定!$H36))</f>
        <v>147.9</v>
      </c>
      <c r="K22" s="54">
        <f>IF($D22="","",IF([21]設定!$H36="",INDEX([21]第３表!$F$80:$Q$136,MATCH([21]設定!$D36,[21]第３表!$C$80:$C$136,0),7),[21]設定!$H36))</f>
        <v>144.30000000000001</v>
      </c>
      <c r="L22" s="55">
        <f>IF($D22="","",IF([21]設定!$H36="",INDEX([21]第３表!$F$80:$Q$136,MATCH([21]設定!$D36,[21]第３表!$C$80:$C$136,0),8),[21]設定!$H36))</f>
        <v>3.6</v>
      </c>
      <c r="M22" s="56">
        <f>IF($D22="","",IF([21]設定!$H36="",INDEX([21]第３表!$F$80:$Q$136,MATCH([21]設定!$D36,[21]第３表!$C$80:$C$136,0),9),[21]設定!$H36))</f>
        <v>18.7</v>
      </c>
      <c r="N22" s="56">
        <f>IF($D22="","",IF([21]設定!$H36="",INDEX([21]第３表!$F$80:$Q$136,MATCH([21]設定!$D36,[21]第３表!$C$80:$C$136,0),10),[21]設定!$H36))</f>
        <v>138.30000000000001</v>
      </c>
      <c r="O22" s="56">
        <f>IF($D22="","",IF([21]設定!$H36="",INDEX([21]第３表!$F$80:$Q$136,MATCH([21]設定!$D36,[21]第３表!$C$80:$C$136,0),11),[21]設定!$H36))</f>
        <v>134.5</v>
      </c>
      <c r="P22" s="57">
        <f>IF($D22="","",IF([21]設定!$H36="",INDEX([21]第３表!$F$80:$Q$136,MATCH([21]設定!$D36,[21]第３表!$C$80:$C$136,0),12),[21]設定!$H36))</f>
        <v>3.8</v>
      </c>
    </row>
    <row r="23" spans="2:16" s="8" customFormat="1" ht="17.25" customHeight="1" x14ac:dyDescent="0.45">
      <c r="B23" s="49" t="str">
        <f>+[22]第５表!B23</f>
        <v>Q</v>
      </c>
      <c r="C23" s="50"/>
      <c r="D23" s="51" t="str">
        <f>+[22]第５表!D23</f>
        <v>複合サービス事業</v>
      </c>
      <c r="E23" s="52">
        <f>IF($D23="","",IF([21]設定!$H37="",INDEX([21]第３表!$F$80:$Q$136,MATCH([21]設定!$D37,[21]第３表!$C$80:$C$136,0),1),[21]設定!$H37))</f>
        <v>19.5</v>
      </c>
      <c r="F23" s="52">
        <f>IF($D23="","",IF([21]設定!$H37="",INDEX([21]第３表!$F$80:$Q$136,MATCH([21]設定!$D37,[21]第３表!$C$80:$C$136,0),2),[21]設定!$H37))</f>
        <v>154.19999999999999</v>
      </c>
      <c r="G23" s="52">
        <f>IF($D23="","",IF([21]設定!$H37="",INDEX([21]第３表!$F$80:$Q$136,MATCH([21]設定!$D37,[21]第３表!$C$80:$C$136,0),3),[21]設定!$H37))</f>
        <v>149.80000000000001</v>
      </c>
      <c r="H23" s="53">
        <f>IF($D23="","",IF([21]設定!$H37="",INDEX([21]第３表!$F$80:$Q$136,MATCH([21]設定!$D37,[21]第３表!$C$80:$C$136,0),4),[21]設定!$H37))</f>
        <v>4.4000000000000004</v>
      </c>
      <c r="I23" s="54">
        <f>IF($D23="","",IF([21]設定!$H37="",INDEX([21]第３表!$F$80:$Q$136,MATCH([21]設定!$D37,[21]第３表!$C$80:$C$136,0),5),[21]設定!$H37))</f>
        <v>19.5</v>
      </c>
      <c r="J23" s="54">
        <f>IF($D23="","",IF([21]設定!$H37="",INDEX([21]第３表!$F$80:$Q$136,MATCH([21]設定!$D37,[21]第３表!$C$80:$C$136,0),6),[21]設定!$H37))</f>
        <v>157.69999999999999</v>
      </c>
      <c r="K23" s="54">
        <f>IF($D23="","",IF([21]設定!$H37="",INDEX([21]第３表!$F$80:$Q$136,MATCH([21]設定!$D37,[21]第３表!$C$80:$C$136,0),7),[21]設定!$H37))</f>
        <v>152.1</v>
      </c>
      <c r="L23" s="55">
        <f>IF($D23="","",IF([21]設定!$H37="",INDEX([21]第３表!$F$80:$Q$136,MATCH([21]設定!$D37,[21]第３表!$C$80:$C$136,0),8),[21]設定!$H37))</f>
        <v>5.6</v>
      </c>
      <c r="M23" s="56">
        <f>IF($D23="","",IF([21]設定!$H37="",INDEX([21]第３表!$F$80:$Q$136,MATCH([21]設定!$D37,[21]第３表!$C$80:$C$136,0),9),[21]設定!$H37))</f>
        <v>19.5</v>
      </c>
      <c r="N23" s="56">
        <f>IF($D23="","",IF([21]設定!$H37="",INDEX([21]第３表!$F$80:$Q$136,MATCH([21]設定!$D37,[21]第３表!$C$80:$C$136,0),10),[21]設定!$H37))</f>
        <v>148</v>
      </c>
      <c r="O23" s="56">
        <f>IF($D23="","",IF([21]設定!$H37="",INDEX([21]第３表!$F$80:$Q$136,MATCH([21]設定!$D37,[21]第３表!$C$80:$C$136,0),11),[21]設定!$H37))</f>
        <v>145.80000000000001</v>
      </c>
      <c r="P23" s="57">
        <f>IF($D23="","",IF([21]設定!$H37="",INDEX([21]第３表!$F$80:$Q$136,MATCH([21]設定!$D37,[21]第３表!$C$80:$C$136,0),12),[21]設定!$H37))</f>
        <v>2.2000000000000002</v>
      </c>
    </row>
    <row r="24" spans="2:16" s="8" customFormat="1" ht="17.25" customHeight="1" x14ac:dyDescent="0.45">
      <c r="B24" s="49" t="str">
        <f>+[22]第５表!B24</f>
        <v>R</v>
      </c>
      <c r="C24" s="50"/>
      <c r="D24" s="62" t="str">
        <f>+[22]第５表!D24</f>
        <v>サービス業（他に分類されないもの）</v>
      </c>
      <c r="E24" s="52">
        <f>IF($D24="","",IF([21]設定!$H38="",INDEX([21]第３表!$F$80:$Q$136,MATCH([21]設定!$D38,[21]第３表!$C$80:$C$136,0),1),[21]設定!$H38))</f>
        <v>19.100000000000001</v>
      </c>
      <c r="F24" s="52">
        <f>IF($D24="","",IF([21]設定!$H38="",INDEX([21]第３表!$F$80:$Q$136,MATCH([21]設定!$D38,[21]第３表!$C$80:$C$136,0),2),[21]設定!$H38))</f>
        <v>143.19999999999999</v>
      </c>
      <c r="G24" s="52">
        <f>IF($D24="","",IF([21]設定!$H38="",INDEX([21]第３表!$F$80:$Q$136,MATCH([21]設定!$D38,[21]第３表!$C$80:$C$136,0),3),[21]設定!$H38))</f>
        <v>135.1</v>
      </c>
      <c r="H24" s="53">
        <f>IF($D24="","",IF([21]設定!$H38="",INDEX([21]第３表!$F$80:$Q$136,MATCH([21]設定!$D38,[21]第３表!$C$80:$C$136,0),4),[21]設定!$H38))</f>
        <v>8.1</v>
      </c>
      <c r="I24" s="54">
        <f>IF($D24="","",IF([21]設定!$H38="",INDEX([21]第３表!$F$80:$Q$136,MATCH([21]設定!$D38,[21]第３表!$C$80:$C$136,0),5),[21]設定!$H38))</f>
        <v>19.7</v>
      </c>
      <c r="J24" s="54">
        <f>IF($D24="","",IF([21]設定!$H38="",INDEX([21]第３表!$F$80:$Q$136,MATCH([21]設定!$D38,[21]第３表!$C$80:$C$136,0),6),[21]設定!$H38))</f>
        <v>157</v>
      </c>
      <c r="K24" s="54">
        <f>IF($D24="","",IF([21]設定!$H38="",INDEX([21]第３表!$F$80:$Q$136,MATCH([21]設定!$D38,[21]第３表!$C$80:$C$136,0),7),[21]設定!$H38))</f>
        <v>145.5</v>
      </c>
      <c r="L24" s="55">
        <f>IF($D24="","",IF([21]設定!$H38="",INDEX([21]第３表!$F$80:$Q$136,MATCH([21]設定!$D38,[21]第３表!$C$80:$C$136,0),8),[21]設定!$H38))</f>
        <v>11.5</v>
      </c>
      <c r="M24" s="56">
        <f>IF($D24="","",IF([21]設定!$H38="",INDEX([21]第３表!$F$80:$Q$136,MATCH([21]設定!$D38,[21]第３表!$C$80:$C$136,0),9),[21]設定!$H38))</f>
        <v>18.399999999999999</v>
      </c>
      <c r="N24" s="56">
        <f>IF($D24="","",IF([21]設定!$H38="",INDEX([21]第３表!$F$80:$Q$136,MATCH([21]設定!$D38,[21]第３表!$C$80:$C$136,0),10),[21]設定!$H38))</f>
        <v>127.1</v>
      </c>
      <c r="O24" s="56">
        <f>IF($D24="","",IF([21]設定!$H38="",INDEX([21]第３表!$F$80:$Q$136,MATCH([21]設定!$D38,[21]第３表!$C$80:$C$136,0),11),[21]設定!$H38))</f>
        <v>122.9</v>
      </c>
      <c r="P24" s="57">
        <f>IF($D24="","",IF([21]設定!$H38="",INDEX([21]第３表!$F$80:$Q$136,MATCH([21]設定!$D38,[21]第３表!$C$80:$C$136,0),12),[21]設定!$H38))</f>
        <v>4.2</v>
      </c>
    </row>
    <row r="25" spans="2:16" s="8" customFormat="1" ht="17.25" customHeight="1" x14ac:dyDescent="0.45">
      <c r="B25" s="45" t="str">
        <f>+[22]第５表!B25</f>
        <v>E09,10</v>
      </c>
      <c r="C25" s="46"/>
      <c r="D25" s="63" t="str">
        <f>+[22]第５表!D25</f>
        <v>食料品・たばこ</v>
      </c>
      <c r="E25" s="48">
        <f>IF($D25="","",IF([21]設定!$H39="",INDEX([21]第３表!$F$80:$Q$136,MATCH([21]設定!$D39,[21]第３表!$C$80:$C$136,0),1),[21]設定!$H39))</f>
        <v>18.899999999999999</v>
      </c>
      <c r="F25" s="48">
        <f>IF($D25="","",IF([21]設定!$H39="",INDEX([21]第３表!$F$80:$Q$136,MATCH([21]設定!$D39,[21]第３表!$C$80:$C$136,0),2),[21]設定!$H39))</f>
        <v>148.80000000000001</v>
      </c>
      <c r="G25" s="48">
        <f>IF($D25="","",IF([21]設定!$H39="",INDEX([21]第３表!$F$80:$Q$136,MATCH([21]設定!$D39,[21]第３表!$C$80:$C$136,0),3),[21]設定!$H39))</f>
        <v>138.6</v>
      </c>
      <c r="H25" s="64">
        <f>IF($D25="","",IF([21]設定!$H39="",INDEX([21]第３表!$F$80:$Q$136,MATCH([21]設定!$D39,[21]第３表!$C$80:$C$136,0),4),[21]設定!$H39))</f>
        <v>10.199999999999999</v>
      </c>
      <c r="I25" s="48">
        <f>IF($D25="","",IF([21]設定!$H39="",INDEX([21]第３表!$F$80:$Q$136,MATCH([21]設定!$D39,[21]第３表!$C$80:$C$136,0),5),[21]設定!$H39))</f>
        <v>19.899999999999999</v>
      </c>
      <c r="J25" s="48">
        <f>IF($D25="","",IF([21]設定!$H39="",INDEX([21]第３表!$F$80:$Q$136,MATCH([21]設定!$D39,[21]第３表!$C$80:$C$136,0),6),[21]設定!$H39))</f>
        <v>166.3</v>
      </c>
      <c r="K25" s="48">
        <f>IF($D25="","",IF([21]設定!$H39="",INDEX([21]第３表!$F$80:$Q$136,MATCH([21]設定!$D39,[21]第３表!$C$80:$C$136,0),7),[21]設定!$H39))</f>
        <v>151.4</v>
      </c>
      <c r="L25" s="64">
        <f>IF($D25="","",IF([21]設定!$H39="",INDEX([21]第３表!$F$80:$Q$136,MATCH([21]設定!$D39,[21]第３表!$C$80:$C$136,0),8),[21]設定!$H39))</f>
        <v>14.9</v>
      </c>
      <c r="M25" s="48">
        <f>IF($D25="","",IF([21]設定!$H39="",INDEX([21]第３表!$F$80:$Q$136,MATCH([21]設定!$D39,[21]第３表!$C$80:$C$136,0),9),[21]設定!$H39))</f>
        <v>18.2</v>
      </c>
      <c r="N25" s="48">
        <f>IF($D25="","",IF([21]設定!$H39="",INDEX([21]第３表!$F$80:$Q$136,MATCH([21]設定!$D39,[21]第３表!$C$80:$C$136,0),10),[21]設定!$H39))</f>
        <v>136.9</v>
      </c>
      <c r="O25" s="48">
        <f>IF($D25="","",IF([21]設定!$H39="",INDEX([21]第３表!$F$80:$Q$136,MATCH([21]設定!$D39,[21]第３表!$C$80:$C$136,0),11),[21]設定!$H39))</f>
        <v>129.9</v>
      </c>
      <c r="P25" s="64">
        <f>IF($D25="","",IF([21]設定!$H39="",INDEX([21]第３表!$F$80:$Q$136,MATCH([21]設定!$D39,[21]第３表!$C$80:$C$136,0),12),[21]設定!$H39))</f>
        <v>7</v>
      </c>
    </row>
    <row r="26" spans="2:16" s="8" customFormat="1" ht="17.25" customHeight="1" x14ac:dyDescent="0.45">
      <c r="B26" s="49" t="str">
        <f>+[22]第５表!B26</f>
        <v>E11</v>
      </c>
      <c r="C26" s="50"/>
      <c r="D26" s="65" t="str">
        <f>+[22]第５表!D26</f>
        <v>繊維工業</v>
      </c>
      <c r="E26" s="52">
        <f>IF($D26="","",IF([21]設定!$H40="",INDEX([21]第３表!$F$80:$Q$136,MATCH([21]設定!$D40,[21]第３表!$C$80:$C$136,0),1),[21]設定!$H40))</f>
        <v>19.5</v>
      </c>
      <c r="F26" s="52">
        <f>IF($D26="","",IF([21]設定!$H40="",INDEX([21]第３表!$F$80:$Q$136,MATCH([21]設定!$D40,[21]第３表!$C$80:$C$136,0),2),[21]設定!$H40))</f>
        <v>159.6</v>
      </c>
      <c r="G26" s="52">
        <f>IF($D26="","",IF([21]設定!$H40="",INDEX([21]第３表!$F$80:$Q$136,MATCH([21]設定!$D40,[21]第３表!$C$80:$C$136,0),3),[21]設定!$H40))</f>
        <v>146</v>
      </c>
      <c r="H26" s="55">
        <f>IF($D26="","",IF([21]設定!$H40="",INDEX([21]第３表!$F$80:$Q$136,MATCH([21]設定!$D40,[21]第３表!$C$80:$C$136,0),4),[21]設定!$H40))</f>
        <v>13.6</v>
      </c>
      <c r="I26" s="52">
        <f>IF($D26="","",IF([21]設定!$H40="",INDEX([21]第３表!$F$80:$Q$136,MATCH([21]設定!$D40,[21]第３表!$C$80:$C$136,0),5),[21]設定!$H40))</f>
        <v>19.600000000000001</v>
      </c>
      <c r="J26" s="52">
        <f>IF($D26="","",IF([21]設定!$H40="",INDEX([21]第３表!$F$80:$Q$136,MATCH([21]設定!$D40,[21]第３表!$C$80:$C$136,0),6),[21]設定!$H40))</f>
        <v>161.69999999999999</v>
      </c>
      <c r="K26" s="52">
        <f>IF($D26="","",IF([21]設定!$H40="",INDEX([21]第３表!$F$80:$Q$136,MATCH([21]設定!$D40,[21]第３表!$C$80:$C$136,0),7),[21]設定!$H40))</f>
        <v>145.80000000000001</v>
      </c>
      <c r="L26" s="55">
        <f>IF($D26="","",IF([21]設定!$H40="",INDEX([21]第３表!$F$80:$Q$136,MATCH([21]設定!$D40,[21]第３表!$C$80:$C$136,0),8),[21]設定!$H40))</f>
        <v>15.9</v>
      </c>
      <c r="M26" s="52">
        <f>IF($D26="","",IF([21]設定!$H40="",INDEX([21]第３表!$F$80:$Q$136,MATCH([21]設定!$D40,[21]第３表!$C$80:$C$136,0),9),[21]設定!$H40))</f>
        <v>19.5</v>
      </c>
      <c r="N26" s="52">
        <f>IF($D26="","",IF([21]設定!$H40="",INDEX([21]第３表!$F$80:$Q$136,MATCH([21]設定!$D40,[21]第３表!$C$80:$C$136,0),10),[21]設定!$H40))</f>
        <v>158.4</v>
      </c>
      <c r="O26" s="52">
        <f>IF($D26="","",IF([21]設定!$H40="",INDEX([21]第３表!$F$80:$Q$136,MATCH([21]設定!$D40,[21]第３表!$C$80:$C$136,0),11),[21]設定!$H40))</f>
        <v>146.1</v>
      </c>
      <c r="P26" s="55">
        <f>IF($D26="","",IF([21]設定!$H40="",INDEX([21]第３表!$F$80:$Q$136,MATCH([21]設定!$D40,[21]第３表!$C$80:$C$136,0),12),[21]設定!$H40))</f>
        <v>12.3</v>
      </c>
    </row>
    <row r="27" spans="2:16" s="8" customFormat="1" ht="17.25" customHeight="1" x14ac:dyDescent="0.45">
      <c r="B27" s="49" t="str">
        <f>+[22]第５表!B27</f>
        <v>E12</v>
      </c>
      <c r="C27" s="50"/>
      <c r="D27" s="65" t="str">
        <f>+[22]第５表!D27</f>
        <v>木材・木製品</v>
      </c>
      <c r="E27" s="52">
        <f>IF($D27="","",IF([21]設定!$H41="",INDEX([21]第３表!$F$80:$Q$136,MATCH([21]設定!$D41,[21]第３表!$C$80:$C$136,0),1),[21]設定!$H41))</f>
        <v>19.5</v>
      </c>
      <c r="F27" s="52">
        <f>IF($D27="","",IF([21]設定!$H41="",INDEX([21]第３表!$F$80:$Q$136,MATCH([21]設定!$D41,[21]第３表!$C$80:$C$136,0),2),[21]設定!$H41))</f>
        <v>157.6</v>
      </c>
      <c r="G27" s="52">
        <f>IF($D27="","",IF([21]設定!$H41="",INDEX([21]第３表!$F$80:$Q$136,MATCH([21]設定!$D41,[21]第３表!$C$80:$C$136,0),3),[21]設定!$H41))</f>
        <v>146.80000000000001</v>
      </c>
      <c r="H27" s="55">
        <f>IF($D27="","",IF([21]設定!$H41="",INDEX([21]第３表!$F$80:$Q$136,MATCH([21]設定!$D41,[21]第３表!$C$80:$C$136,0),4),[21]設定!$H41))</f>
        <v>10.8</v>
      </c>
      <c r="I27" s="52">
        <f>IF($D27="","",IF([21]設定!$H41="",INDEX([21]第３表!$F$80:$Q$136,MATCH([21]設定!$D41,[21]第３表!$C$80:$C$136,0),5),[21]設定!$H41))</f>
        <v>19.8</v>
      </c>
      <c r="J27" s="52">
        <f>IF($D27="","",IF([21]設定!$H41="",INDEX([21]第３表!$F$80:$Q$136,MATCH([21]設定!$D41,[21]第３表!$C$80:$C$136,0),6),[21]設定!$H41))</f>
        <v>166.5</v>
      </c>
      <c r="K27" s="52">
        <f>IF($D27="","",IF([21]設定!$H41="",INDEX([21]第３表!$F$80:$Q$136,MATCH([21]設定!$D41,[21]第３表!$C$80:$C$136,0),7),[21]設定!$H41))</f>
        <v>153.19999999999999</v>
      </c>
      <c r="L27" s="55">
        <f>IF($D27="","",IF([21]設定!$H41="",INDEX([21]第３表!$F$80:$Q$136,MATCH([21]設定!$D41,[21]第３表!$C$80:$C$136,0),8),[21]設定!$H41))</f>
        <v>13.3</v>
      </c>
      <c r="M27" s="52">
        <f>IF($D27="","",IF([21]設定!$H41="",INDEX([21]第３表!$F$80:$Q$136,MATCH([21]設定!$D41,[21]第３表!$C$80:$C$136,0),9),[21]設定!$H41))</f>
        <v>18.600000000000001</v>
      </c>
      <c r="N27" s="52">
        <f>IF($D27="","",IF([21]設定!$H41="",INDEX([21]第３表!$F$80:$Q$136,MATCH([21]設定!$D41,[21]第３表!$C$80:$C$136,0),10),[21]設定!$H41))</f>
        <v>133</v>
      </c>
      <c r="O27" s="52">
        <f>IF($D27="","",IF([21]設定!$H41="",INDEX([21]第３表!$F$80:$Q$136,MATCH([21]設定!$D41,[21]第３表!$C$80:$C$136,0),11),[21]設定!$H41))</f>
        <v>129.1</v>
      </c>
      <c r="P27" s="55">
        <f>IF($D27="","",IF([21]設定!$H41="",INDEX([21]第３表!$F$80:$Q$136,MATCH([21]設定!$D41,[21]第３表!$C$80:$C$136,0),12),[21]設定!$H41))</f>
        <v>3.9</v>
      </c>
    </row>
    <row r="28" spans="2:16" s="8" customFormat="1" ht="17.25" customHeight="1" x14ac:dyDescent="0.45">
      <c r="B28" s="49" t="str">
        <f>+[22]第５表!B28</f>
        <v>E13</v>
      </c>
      <c r="C28" s="50"/>
      <c r="D28" s="65" t="str">
        <f>+[22]第５表!D28</f>
        <v>家具・装備品</v>
      </c>
      <c r="E28" s="52" t="str">
        <f>IF($D28="","",IF([21]設定!$H42="",INDEX([21]第３表!$F$80:$Q$136,MATCH([21]設定!$D42,[21]第３表!$C$80:$C$136,0),1),[21]設定!$H42))</f>
        <v>x</v>
      </c>
      <c r="F28" s="52" t="str">
        <f>IF($D28="","",IF([21]設定!$H42="",INDEX([21]第３表!$F$80:$Q$136,MATCH([21]設定!$D42,[21]第３表!$C$80:$C$136,0),2),[21]設定!$H42))</f>
        <v>x</v>
      </c>
      <c r="G28" s="52" t="str">
        <f>IF($D28="","",IF([21]設定!$H42="",INDEX([21]第３表!$F$80:$Q$136,MATCH([21]設定!$D42,[21]第３表!$C$80:$C$136,0),3),[21]設定!$H42))</f>
        <v>x</v>
      </c>
      <c r="H28" s="55" t="str">
        <f>IF($D28="","",IF([21]設定!$H42="",INDEX([21]第３表!$F$80:$Q$136,MATCH([21]設定!$D42,[21]第３表!$C$80:$C$136,0),4),[21]設定!$H42))</f>
        <v>x</v>
      </c>
      <c r="I28" s="52" t="str">
        <f>IF($D28="","",IF([21]設定!$H42="",INDEX([21]第３表!$F$80:$Q$136,MATCH([21]設定!$D42,[21]第３表!$C$80:$C$136,0),5),[21]設定!$H42))</f>
        <v>x</v>
      </c>
      <c r="J28" s="52" t="str">
        <f>IF($D28="","",IF([21]設定!$H42="",INDEX([21]第３表!$F$80:$Q$136,MATCH([21]設定!$D42,[21]第３表!$C$80:$C$136,0),6),[21]設定!$H42))</f>
        <v>x</v>
      </c>
      <c r="K28" s="52" t="str">
        <f>IF($D28="","",IF([21]設定!$H42="",INDEX([21]第３表!$F$80:$Q$136,MATCH([21]設定!$D42,[21]第３表!$C$80:$C$136,0),7),[21]設定!$H42))</f>
        <v>x</v>
      </c>
      <c r="L28" s="55" t="str">
        <f>IF($D28="","",IF([21]設定!$H42="",INDEX([21]第３表!$F$80:$Q$136,MATCH([21]設定!$D42,[21]第３表!$C$80:$C$136,0),8),[21]設定!$H42))</f>
        <v>x</v>
      </c>
      <c r="M28" s="52" t="str">
        <f>IF($D28="","",IF([21]設定!$H42="",INDEX([21]第３表!$F$80:$Q$136,MATCH([21]設定!$D42,[21]第３表!$C$80:$C$136,0),9),[21]設定!$H42))</f>
        <v>x</v>
      </c>
      <c r="N28" s="52" t="str">
        <f>IF($D28="","",IF([21]設定!$H42="",INDEX([21]第３表!$F$80:$Q$136,MATCH([21]設定!$D42,[21]第３表!$C$80:$C$136,0),10),[21]設定!$H42))</f>
        <v>x</v>
      </c>
      <c r="O28" s="52" t="str">
        <f>IF($D28="","",IF([21]設定!$H42="",INDEX([21]第３表!$F$80:$Q$136,MATCH([21]設定!$D42,[21]第３表!$C$80:$C$136,0),11),[21]設定!$H42))</f>
        <v>x</v>
      </c>
      <c r="P28" s="55" t="str">
        <f>IF($D28="","",IF([21]設定!$H42="",INDEX([21]第３表!$F$80:$Q$136,MATCH([21]設定!$D42,[21]第３表!$C$80:$C$136,0),12),[21]設定!$H42))</f>
        <v>x</v>
      </c>
    </row>
    <row r="29" spans="2:16" s="8" customFormat="1" ht="17.25" customHeight="1" x14ac:dyDescent="0.45">
      <c r="B29" s="49" t="str">
        <f>+[22]第５表!B29</f>
        <v>E15</v>
      </c>
      <c r="C29" s="50"/>
      <c r="D29" s="65" t="str">
        <f>+[22]第５表!D29</f>
        <v>印刷・同関連業</v>
      </c>
      <c r="E29" s="52">
        <f>IF($D29="","",IF([21]設定!$H43="",INDEX([21]第３表!$F$80:$Q$136,MATCH([21]設定!$D43,[21]第３表!$C$80:$C$136,0),1),[21]設定!$H43))</f>
        <v>19.399999999999999</v>
      </c>
      <c r="F29" s="52">
        <f>IF($D29="","",IF([21]設定!$H43="",INDEX([21]第３表!$F$80:$Q$136,MATCH([21]設定!$D43,[21]第３表!$C$80:$C$136,0),2),[21]設定!$H43))</f>
        <v>147.9</v>
      </c>
      <c r="G29" s="52">
        <f>IF($D29="","",IF([21]設定!$H43="",INDEX([21]第３表!$F$80:$Q$136,MATCH([21]設定!$D43,[21]第３表!$C$80:$C$136,0),3),[21]設定!$H43))</f>
        <v>141.6</v>
      </c>
      <c r="H29" s="55">
        <f>IF($D29="","",IF([21]設定!$H43="",INDEX([21]第３表!$F$80:$Q$136,MATCH([21]設定!$D43,[21]第３表!$C$80:$C$136,0),4),[21]設定!$H43))</f>
        <v>6.3</v>
      </c>
      <c r="I29" s="52">
        <f>IF($D29="","",IF([21]設定!$H43="",INDEX([21]第３表!$F$80:$Q$136,MATCH([21]設定!$D43,[21]第３表!$C$80:$C$136,0),5),[21]設定!$H43))</f>
        <v>19.5</v>
      </c>
      <c r="J29" s="52">
        <f>IF($D29="","",IF([21]設定!$H43="",INDEX([21]第３表!$F$80:$Q$136,MATCH([21]設定!$D43,[21]第３表!$C$80:$C$136,0),6),[21]設定!$H43))</f>
        <v>152.5</v>
      </c>
      <c r="K29" s="52">
        <f>IF($D29="","",IF([21]設定!$H43="",INDEX([21]第３表!$F$80:$Q$136,MATCH([21]設定!$D43,[21]第３表!$C$80:$C$136,0),7),[21]設定!$H43))</f>
        <v>145.30000000000001</v>
      </c>
      <c r="L29" s="55">
        <f>IF($D29="","",IF([21]設定!$H43="",INDEX([21]第３表!$F$80:$Q$136,MATCH([21]設定!$D43,[21]第３表!$C$80:$C$136,0),8),[21]設定!$H43))</f>
        <v>7.2</v>
      </c>
      <c r="M29" s="52">
        <f>IF($D29="","",IF([21]設定!$H43="",INDEX([21]第３表!$F$80:$Q$136,MATCH([21]設定!$D43,[21]第３表!$C$80:$C$136,0),9),[21]設定!$H43))</f>
        <v>19.100000000000001</v>
      </c>
      <c r="N29" s="52">
        <f>IF($D29="","",IF([21]設定!$H43="",INDEX([21]第３表!$F$80:$Q$136,MATCH([21]設定!$D43,[21]第３表!$C$80:$C$136,0),10),[21]設定!$H43))</f>
        <v>137.5</v>
      </c>
      <c r="O29" s="52">
        <f>IF($D29="","",IF([21]設定!$H43="",INDEX([21]第３表!$F$80:$Q$136,MATCH([21]設定!$D43,[21]第３表!$C$80:$C$136,0),11),[21]設定!$H43))</f>
        <v>133.30000000000001</v>
      </c>
      <c r="P29" s="55">
        <f>IF($D29="","",IF([21]設定!$H43="",INDEX([21]第３表!$F$80:$Q$136,MATCH([21]設定!$D43,[21]第３表!$C$80:$C$136,0),12),[21]設定!$H43))</f>
        <v>4.2</v>
      </c>
    </row>
    <row r="30" spans="2:16" s="8" customFormat="1" ht="17.25" customHeight="1" x14ac:dyDescent="0.45">
      <c r="B30" s="49" t="str">
        <f>+[22]第５表!B30</f>
        <v>E16,17</v>
      </c>
      <c r="C30" s="50"/>
      <c r="D30" s="65" t="str">
        <f>+[22]第５表!D30</f>
        <v>化学、石油・石炭</v>
      </c>
      <c r="E30" s="52">
        <f>IF($D30="","",IF([21]設定!$H44="",INDEX([21]第３表!$F$80:$Q$136,MATCH([21]設定!$D44,[21]第３表!$C$80:$C$136,0),1),[21]設定!$H44))</f>
        <v>19.7</v>
      </c>
      <c r="F30" s="52">
        <f>IF($D30="","",IF([21]設定!$H44="",INDEX([21]第３表!$F$80:$Q$136,MATCH([21]設定!$D44,[21]第３表!$C$80:$C$136,0),2),[21]設定!$H44))</f>
        <v>161.69999999999999</v>
      </c>
      <c r="G30" s="52">
        <f>IF($D30="","",IF([21]設定!$H44="",INDEX([21]第３表!$F$80:$Q$136,MATCH([21]設定!$D44,[21]第３表!$C$80:$C$136,0),3),[21]設定!$H44))</f>
        <v>144.9</v>
      </c>
      <c r="H30" s="55">
        <f>IF($D30="","",IF([21]設定!$H44="",INDEX([21]第３表!$F$80:$Q$136,MATCH([21]設定!$D44,[21]第３表!$C$80:$C$136,0),4),[21]設定!$H44))</f>
        <v>16.8</v>
      </c>
      <c r="I30" s="52">
        <f>IF($D30="","",IF([21]設定!$H44="",INDEX([21]第３表!$F$80:$Q$136,MATCH([21]設定!$D44,[21]第３表!$C$80:$C$136,0),5),[21]設定!$H44))</f>
        <v>19.8</v>
      </c>
      <c r="J30" s="52">
        <f>IF($D30="","",IF([21]設定!$H44="",INDEX([21]第３表!$F$80:$Q$136,MATCH([21]設定!$D44,[21]第３表!$C$80:$C$136,0),6),[21]設定!$H44))</f>
        <v>163.19999999999999</v>
      </c>
      <c r="K30" s="52">
        <f>IF($D30="","",IF([21]設定!$H44="",INDEX([21]第３表!$F$80:$Q$136,MATCH([21]設定!$D44,[21]第３表!$C$80:$C$136,0),7),[21]設定!$H44))</f>
        <v>145.69999999999999</v>
      </c>
      <c r="L30" s="55">
        <f>IF($D30="","",IF([21]設定!$H44="",INDEX([21]第３表!$F$80:$Q$136,MATCH([21]設定!$D44,[21]第３表!$C$80:$C$136,0),8),[21]設定!$H44))</f>
        <v>17.5</v>
      </c>
      <c r="M30" s="52">
        <f>IF($D30="","",IF([21]設定!$H44="",INDEX([21]第３表!$F$80:$Q$136,MATCH([21]設定!$D44,[21]第３表!$C$80:$C$136,0),9),[21]設定!$H44))</f>
        <v>18.399999999999999</v>
      </c>
      <c r="N30" s="52">
        <f>IF($D30="","",IF([21]設定!$H44="",INDEX([21]第３表!$F$80:$Q$136,MATCH([21]設定!$D44,[21]第３表!$C$80:$C$136,0),10),[21]設定!$H44))</f>
        <v>145.1</v>
      </c>
      <c r="O30" s="52">
        <f>IF($D30="","",IF([21]設定!$H44="",INDEX([21]第３表!$F$80:$Q$136,MATCH([21]設定!$D44,[21]第３表!$C$80:$C$136,0),11),[21]設定!$H44))</f>
        <v>136.69999999999999</v>
      </c>
      <c r="P30" s="55">
        <f>IF($D30="","",IF([21]設定!$H44="",INDEX([21]第３表!$F$80:$Q$136,MATCH([21]設定!$D44,[21]第３表!$C$80:$C$136,0),12),[21]設定!$H44))</f>
        <v>8.4</v>
      </c>
    </row>
    <row r="31" spans="2:16" s="8" customFormat="1" ht="17.25" customHeight="1" x14ac:dyDescent="0.45">
      <c r="B31" s="49" t="str">
        <f>+[22]第５表!B31</f>
        <v>E18</v>
      </c>
      <c r="C31" s="50"/>
      <c r="D31" s="65" t="str">
        <f>+[22]第５表!D31</f>
        <v>プラスチック製品</v>
      </c>
      <c r="E31" s="52">
        <f>IF($D31="","",IF([21]設定!$H45="",INDEX([21]第３表!$F$80:$Q$136,MATCH([21]設定!$D45,[21]第３表!$C$80:$C$136,0),1),[21]設定!$H45))</f>
        <v>20.3</v>
      </c>
      <c r="F31" s="52">
        <f>IF($D31="","",IF([21]設定!$H45="",INDEX([21]第３表!$F$80:$Q$136,MATCH([21]設定!$D45,[21]第３表!$C$80:$C$136,0),2),[21]設定!$H45))</f>
        <v>154.30000000000001</v>
      </c>
      <c r="G31" s="52">
        <f>IF($D31="","",IF([21]設定!$H45="",INDEX([21]第３表!$F$80:$Q$136,MATCH([21]設定!$D45,[21]第３表!$C$80:$C$136,0),3),[21]設定!$H45))</f>
        <v>143.4</v>
      </c>
      <c r="H31" s="55">
        <f>IF($D31="","",IF([21]設定!$H45="",INDEX([21]第３表!$F$80:$Q$136,MATCH([21]設定!$D45,[21]第３表!$C$80:$C$136,0),4),[21]設定!$H45))</f>
        <v>10.9</v>
      </c>
      <c r="I31" s="52">
        <f>IF($D31="","",IF([21]設定!$H45="",INDEX([21]第３表!$F$80:$Q$136,MATCH([21]設定!$D45,[21]第３表!$C$80:$C$136,0),5),[21]設定!$H45))</f>
        <v>20.2</v>
      </c>
      <c r="J31" s="52">
        <f>IF($D31="","",IF([21]設定!$H45="",INDEX([21]第３表!$F$80:$Q$136,MATCH([21]設定!$D45,[21]第３表!$C$80:$C$136,0),6),[21]設定!$H45))</f>
        <v>161</v>
      </c>
      <c r="K31" s="52">
        <f>IF($D31="","",IF([21]設定!$H45="",INDEX([21]第３表!$F$80:$Q$136,MATCH([21]設定!$D45,[21]第３表!$C$80:$C$136,0),7),[21]設定!$H45))</f>
        <v>146.80000000000001</v>
      </c>
      <c r="L31" s="55">
        <f>IF($D31="","",IF([21]設定!$H45="",INDEX([21]第３表!$F$80:$Q$136,MATCH([21]設定!$D45,[21]第３表!$C$80:$C$136,0),8),[21]設定!$H45))</f>
        <v>14.2</v>
      </c>
      <c r="M31" s="52">
        <f>IF($D31="","",IF([21]設定!$H45="",INDEX([21]第３表!$F$80:$Q$136,MATCH([21]設定!$D45,[21]第３表!$C$80:$C$136,0),9),[21]設定!$H45))</f>
        <v>20.7</v>
      </c>
      <c r="N31" s="52">
        <f>IF($D31="","",IF([21]設定!$H45="",INDEX([21]第３表!$F$80:$Q$136,MATCH([21]設定!$D45,[21]第３表!$C$80:$C$136,0),10),[21]設定!$H45))</f>
        <v>135.5</v>
      </c>
      <c r="O31" s="52">
        <f>IF($D31="","",IF([21]設定!$H45="",INDEX([21]第３表!$F$80:$Q$136,MATCH([21]設定!$D45,[21]第３表!$C$80:$C$136,0),11),[21]設定!$H45))</f>
        <v>133.80000000000001</v>
      </c>
      <c r="P31" s="55">
        <f>IF($D31="","",IF([21]設定!$H45="",INDEX([21]第３表!$F$80:$Q$136,MATCH([21]設定!$D45,[21]第３表!$C$80:$C$136,0),12),[21]設定!$H45))</f>
        <v>1.7</v>
      </c>
    </row>
    <row r="32" spans="2:16" s="8" customFormat="1" ht="17.25" customHeight="1" x14ac:dyDescent="0.45">
      <c r="B32" s="49" t="str">
        <f>+[22]第５表!B32</f>
        <v>E19</v>
      </c>
      <c r="C32" s="50"/>
      <c r="D32" s="65" t="str">
        <f>+[22]第５表!D32</f>
        <v>ゴム製品</v>
      </c>
      <c r="E32" s="52">
        <f>IF($D32="","",IF([21]設定!$H46="",INDEX([21]第３表!$F$80:$Q$136,MATCH([21]設定!$D46,[21]第３表!$C$80:$C$136,0),1),[21]設定!$H46))</f>
        <v>20.3</v>
      </c>
      <c r="F32" s="52">
        <f>IF($D32="","",IF([21]設定!$H46="",INDEX([21]第３表!$F$80:$Q$136,MATCH([21]設定!$D46,[21]第３表!$C$80:$C$136,0),2),[21]設定!$H46))</f>
        <v>170.1</v>
      </c>
      <c r="G32" s="52">
        <f>IF($D32="","",IF([21]設定!$H46="",INDEX([21]第３表!$F$80:$Q$136,MATCH([21]設定!$D46,[21]第３表!$C$80:$C$136,0),3),[21]設定!$H46))</f>
        <v>149.5</v>
      </c>
      <c r="H32" s="55">
        <f>IF($D32="","",IF([21]設定!$H46="",INDEX([21]第３表!$F$80:$Q$136,MATCH([21]設定!$D46,[21]第３表!$C$80:$C$136,0),4),[21]設定!$H46))</f>
        <v>20.6</v>
      </c>
      <c r="I32" s="52">
        <f>IF($D32="","",IF([21]設定!$H46="",INDEX([21]第３表!$F$80:$Q$136,MATCH([21]設定!$D46,[21]第３表!$C$80:$C$136,0),5),[21]設定!$H46))</f>
        <v>20.399999999999999</v>
      </c>
      <c r="J32" s="52">
        <f>IF($D32="","",IF([21]設定!$H46="",INDEX([21]第３表!$F$80:$Q$136,MATCH([21]設定!$D46,[21]第３表!$C$80:$C$136,0),6),[21]設定!$H46))</f>
        <v>171.5</v>
      </c>
      <c r="K32" s="52">
        <f>IF($D32="","",IF([21]設定!$H46="",INDEX([21]第３表!$F$80:$Q$136,MATCH([21]設定!$D46,[21]第３表!$C$80:$C$136,0),7),[21]設定!$H46))</f>
        <v>149.1</v>
      </c>
      <c r="L32" s="55">
        <f>IF($D32="","",IF([21]設定!$H46="",INDEX([21]第３表!$F$80:$Q$136,MATCH([21]設定!$D46,[21]第３表!$C$80:$C$136,0),8),[21]設定!$H46))</f>
        <v>22.4</v>
      </c>
      <c r="M32" s="52">
        <f>IF($D32="","",IF([21]設定!$H46="",INDEX([21]第３表!$F$80:$Q$136,MATCH([21]設定!$D46,[21]第３表!$C$80:$C$136,0),9),[21]設定!$H46))</f>
        <v>19.7</v>
      </c>
      <c r="N32" s="52">
        <f>IF($D32="","",IF([21]設定!$H46="",INDEX([21]第３表!$F$80:$Q$136,MATCH([21]設定!$D46,[21]第３表!$C$80:$C$136,0),10),[21]設定!$H46))</f>
        <v>160.80000000000001</v>
      </c>
      <c r="O32" s="52">
        <f>IF($D32="","",IF([21]設定!$H46="",INDEX([21]第３表!$F$80:$Q$136,MATCH([21]設定!$D46,[21]第３表!$C$80:$C$136,0),11),[21]設定!$H46))</f>
        <v>151.6</v>
      </c>
      <c r="P32" s="55">
        <f>IF($D32="","",IF([21]設定!$H46="",INDEX([21]第３表!$F$80:$Q$136,MATCH([21]設定!$D46,[21]第３表!$C$80:$C$136,0),12),[21]設定!$H46))</f>
        <v>9.1999999999999993</v>
      </c>
    </row>
    <row r="33" spans="2:17" s="8" customFormat="1" ht="17.25" customHeight="1" x14ac:dyDescent="0.45">
      <c r="B33" s="49" t="str">
        <f>+[22]第５表!B33</f>
        <v>E21</v>
      </c>
      <c r="C33" s="50"/>
      <c r="D33" s="65" t="str">
        <f>+[22]第５表!D33</f>
        <v>窯業・土石製品</v>
      </c>
      <c r="E33" s="52">
        <f>IF($D33="","",IF([21]設定!$H47="",INDEX([21]第３表!$F$80:$Q$136,MATCH([21]設定!$D47,[21]第３表!$C$80:$C$136,0),1),[21]設定!$H47))</f>
        <v>19.8</v>
      </c>
      <c r="F33" s="52">
        <f>IF($D33="","",IF([21]設定!$H47="",INDEX([21]第３表!$F$80:$Q$136,MATCH([21]設定!$D47,[21]第３表!$C$80:$C$136,0),2),[21]設定!$H47))</f>
        <v>168</v>
      </c>
      <c r="G33" s="52">
        <f>IF($D33="","",IF([21]設定!$H47="",INDEX([21]第３表!$F$80:$Q$136,MATCH([21]設定!$D47,[21]第３表!$C$80:$C$136,0),3),[21]設定!$H47))</f>
        <v>155.6</v>
      </c>
      <c r="H33" s="55">
        <f>IF($D33="","",IF([21]設定!$H47="",INDEX([21]第３表!$F$80:$Q$136,MATCH([21]設定!$D47,[21]第３表!$C$80:$C$136,0),4),[21]設定!$H47))</f>
        <v>12.4</v>
      </c>
      <c r="I33" s="52">
        <f>IF($D33="","",IF([21]設定!$H47="",INDEX([21]第３表!$F$80:$Q$136,MATCH([21]設定!$D47,[21]第３表!$C$80:$C$136,0),5),[21]設定!$H47))</f>
        <v>19.7</v>
      </c>
      <c r="J33" s="52">
        <f>IF($D33="","",IF([21]設定!$H47="",INDEX([21]第３表!$F$80:$Q$136,MATCH([21]設定!$D47,[21]第３表!$C$80:$C$136,0),6),[21]設定!$H47))</f>
        <v>170.4</v>
      </c>
      <c r="K33" s="52">
        <f>IF($D33="","",IF([21]設定!$H47="",INDEX([21]第３表!$F$80:$Q$136,MATCH([21]設定!$D47,[21]第３表!$C$80:$C$136,0),7),[21]設定!$H47))</f>
        <v>156.19999999999999</v>
      </c>
      <c r="L33" s="55">
        <f>IF($D33="","",IF([21]設定!$H47="",INDEX([21]第３表!$F$80:$Q$136,MATCH([21]設定!$D47,[21]第３表!$C$80:$C$136,0),8),[21]設定!$H47))</f>
        <v>14.2</v>
      </c>
      <c r="M33" s="52">
        <f>IF($D33="","",IF([21]設定!$H47="",INDEX([21]第３表!$F$80:$Q$136,MATCH([21]設定!$D47,[21]第３表!$C$80:$C$136,0),9),[21]設定!$H47))</f>
        <v>19.899999999999999</v>
      </c>
      <c r="N33" s="52">
        <f>IF($D33="","",IF([21]設定!$H47="",INDEX([21]第３表!$F$80:$Q$136,MATCH([21]設定!$D47,[21]第３表!$C$80:$C$136,0),10),[21]設定!$H47))</f>
        <v>158.80000000000001</v>
      </c>
      <c r="O33" s="52">
        <f>IF($D33="","",IF([21]設定!$H47="",INDEX([21]第３表!$F$80:$Q$136,MATCH([21]設定!$D47,[21]第３表!$C$80:$C$136,0),11),[21]設定!$H47))</f>
        <v>153.30000000000001</v>
      </c>
      <c r="P33" s="55">
        <f>IF($D33="","",IF([21]設定!$H47="",INDEX([21]第３表!$F$80:$Q$136,MATCH([21]設定!$D47,[21]第３表!$C$80:$C$136,0),12),[21]設定!$H47))</f>
        <v>5.5</v>
      </c>
    </row>
    <row r="34" spans="2:17" s="8" customFormat="1" ht="17.25" customHeight="1" x14ac:dyDescent="0.45">
      <c r="B34" s="49" t="str">
        <f>+[22]第５表!B34</f>
        <v>E24</v>
      </c>
      <c r="C34" s="50"/>
      <c r="D34" s="65" t="str">
        <f>+[22]第５表!D34</f>
        <v>金属製品製造業</v>
      </c>
      <c r="E34" s="55">
        <f>IF($D34="","",IF([21]設定!$H48="",INDEX([21]第３表!$F$80:$Q$136,MATCH([21]設定!$D48,[21]第３表!$C$80:$C$136,0),1),[21]設定!$H48))</f>
        <v>21.1</v>
      </c>
      <c r="F34" s="55">
        <f>IF($D34="","",IF([21]設定!$H48="",INDEX([21]第３表!$F$80:$Q$136,MATCH([21]設定!$D48,[21]第３表!$C$80:$C$136,0),2),[21]設定!$H48))</f>
        <v>169.2</v>
      </c>
      <c r="G34" s="55">
        <f>IF($D34="","",IF([21]設定!$H48="",INDEX([21]第３表!$F$80:$Q$136,MATCH([21]設定!$D48,[21]第３表!$C$80:$C$136,0),3),[21]設定!$H48))</f>
        <v>157</v>
      </c>
      <c r="H34" s="55">
        <f>IF($D34="","",IF([21]設定!$H48="",INDEX([21]第３表!$F$80:$Q$136,MATCH([21]設定!$D48,[21]第３表!$C$80:$C$136,0),4),[21]設定!$H48))</f>
        <v>12.2</v>
      </c>
      <c r="I34" s="55">
        <f>IF($D34="","",IF([21]設定!$H48="",INDEX([21]第３表!$F$80:$Q$136,MATCH([21]設定!$D48,[21]第３表!$C$80:$C$136,0),5),[21]設定!$H48))</f>
        <v>21.2</v>
      </c>
      <c r="J34" s="55">
        <f>IF($D34="","",IF([21]設定!$H48="",INDEX([21]第３表!$F$80:$Q$136,MATCH([21]設定!$D48,[21]第３表!$C$80:$C$136,0),6),[21]設定!$H48))</f>
        <v>179.5</v>
      </c>
      <c r="K34" s="55">
        <f>IF($D34="","",IF([21]設定!$H48="",INDEX([21]第３表!$F$80:$Q$136,MATCH([21]設定!$D48,[21]第３表!$C$80:$C$136,0),7),[21]設定!$H48))</f>
        <v>163.5</v>
      </c>
      <c r="L34" s="55">
        <f>IF($D34="","",IF([21]設定!$H48="",INDEX([21]第３表!$F$80:$Q$136,MATCH([21]設定!$D48,[21]第３表!$C$80:$C$136,0),8),[21]設定!$H48))</f>
        <v>16</v>
      </c>
      <c r="M34" s="55">
        <f>IF($D34="","",IF([21]設定!$H48="",INDEX([21]第３表!$F$80:$Q$136,MATCH([21]設定!$D48,[21]第３表!$C$80:$C$136,0),9),[21]設定!$H48))</f>
        <v>20.9</v>
      </c>
      <c r="N34" s="55">
        <f>IF($D34="","",IF([21]設定!$H48="",INDEX([21]第３表!$F$80:$Q$136,MATCH([21]設定!$D48,[21]第３表!$C$80:$C$136,0),10),[21]設定!$H48))</f>
        <v>152.30000000000001</v>
      </c>
      <c r="O34" s="55">
        <f>IF($D34="","",IF([21]設定!$H48="",INDEX([21]第３表!$F$80:$Q$136,MATCH([21]設定!$D48,[21]第３表!$C$80:$C$136,0),11),[21]設定!$H48))</f>
        <v>146.30000000000001</v>
      </c>
      <c r="P34" s="55">
        <f>IF($D34="","",IF([21]設定!$H48="",INDEX([21]第３表!$F$80:$Q$136,MATCH([21]設定!$D48,[21]第３表!$C$80:$C$136,0),12),[21]設定!$H48))</f>
        <v>6</v>
      </c>
    </row>
    <row r="35" spans="2:17" s="8" customFormat="1" ht="17.25" customHeight="1" x14ac:dyDescent="0.45">
      <c r="B35" s="49" t="str">
        <f>+[22]第５表!B35</f>
        <v>E27</v>
      </c>
      <c r="C35" s="50"/>
      <c r="D35" s="65" t="str">
        <f>+[22]第５表!D35</f>
        <v>業務用機械器具</v>
      </c>
      <c r="E35" s="55">
        <f>IF($D35="","",IF([21]設定!$H49="",INDEX([21]第３表!$F$80:$Q$136,MATCH([21]設定!$D49,[21]第３表!$C$80:$C$136,0),1),[21]設定!$H49))</f>
        <v>18.899999999999999</v>
      </c>
      <c r="F35" s="55">
        <f>IF($D35="","",IF([21]設定!$H49="",INDEX([21]第３表!$F$80:$Q$136,MATCH([21]設定!$D49,[21]第３表!$C$80:$C$136,0),2),[21]設定!$H49))</f>
        <v>157.69999999999999</v>
      </c>
      <c r="G35" s="55">
        <f>IF($D35="","",IF([21]設定!$H49="",INDEX([21]第３表!$F$80:$Q$136,MATCH([21]設定!$D49,[21]第３表!$C$80:$C$136,0),3),[21]設定!$H49))</f>
        <v>147.6</v>
      </c>
      <c r="H35" s="55">
        <f>IF($D35="","",IF([21]設定!$H49="",INDEX([21]第３表!$F$80:$Q$136,MATCH([21]設定!$D49,[21]第３表!$C$80:$C$136,0),4),[21]設定!$H49))</f>
        <v>10.1</v>
      </c>
      <c r="I35" s="55">
        <f>IF($D35="","",IF([21]設定!$H49="",INDEX([21]第３表!$F$80:$Q$136,MATCH([21]設定!$D49,[21]第３表!$C$80:$C$136,0),5),[21]設定!$H49))</f>
        <v>19.2</v>
      </c>
      <c r="J35" s="55">
        <f>IF($D35="","",IF([21]設定!$H49="",INDEX([21]第３表!$F$80:$Q$136,MATCH([21]設定!$D49,[21]第３表!$C$80:$C$136,0),6),[21]設定!$H49))</f>
        <v>160.80000000000001</v>
      </c>
      <c r="K35" s="55">
        <f>IF($D35="","",IF([21]設定!$H49="",INDEX([21]第３表!$F$80:$Q$136,MATCH([21]設定!$D49,[21]第３表!$C$80:$C$136,0),7),[21]設定!$H49))</f>
        <v>148.5</v>
      </c>
      <c r="L35" s="55">
        <f>IF($D35="","",IF([21]設定!$H49="",INDEX([21]第３表!$F$80:$Q$136,MATCH([21]設定!$D49,[21]第３表!$C$80:$C$136,0),8),[21]設定!$H49))</f>
        <v>12.3</v>
      </c>
      <c r="M35" s="55">
        <f>IF($D35="","",IF([21]設定!$H49="",INDEX([21]第３表!$F$80:$Q$136,MATCH([21]設定!$D49,[21]第３表!$C$80:$C$136,0),9),[21]設定!$H49))</f>
        <v>18.5</v>
      </c>
      <c r="N35" s="55">
        <f>IF($D35="","",IF([21]設定!$H49="",INDEX([21]第３表!$F$80:$Q$136,MATCH([21]設定!$D49,[21]第３表!$C$80:$C$136,0),10),[21]設定!$H49))</f>
        <v>154.80000000000001</v>
      </c>
      <c r="O35" s="55">
        <f>IF($D35="","",IF([21]設定!$H49="",INDEX([21]第３表!$F$80:$Q$136,MATCH([21]設定!$D49,[21]第３表!$C$80:$C$136,0),11),[21]設定!$H49))</f>
        <v>146.69999999999999</v>
      </c>
      <c r="P35" s="55">
        <f>IF($D35="","",IF([21]設定!$H49="",INDEX([21]第３表!$F$80:$Q$136,MATCH([21]設定!$D49,[21]第３表!$C$80:$C$136,0),12),[21]設定!$H49))</f>
        <v>8.1</v>
      </c>
    </row>
    <row r="36" spans="2:17" s="8" customFormat="1" ht="17.25" customHeight="1" x14ac:dyDescent="0.45">
      <c r="B36" s="49" t="str">
        <f>+[22]第５表!B36</f>
        <v>E28</v>
      </c>
      <c r="C36" s="50"/>
      <c r="D36" s="65" t="str">
        <f>+[22]第５表!D36</f>
        <v>電子・デバイス</v>
      </c>
      <c r="E36" s="55">
        <f>IF($D36="","",IF([21]設定!$H50="",INDEX([21]第３表!$F$80:$Q$136,MATCH([21]設定!$D50,[21]第３表!$C$80:$C$136,0),1),[21]設定!$H50))</f>
        <v>18.7</v>
      </c>
      <c r="F36" s="55">
        <f>IF($D36="","",IF([21]設定!$H50="",INDEX([21]第３表!$F$80:$Q$136,MATCH([21]設定!$D50,[21]第３表!$C$80:$C$136,0),2),[21]設定!$H50))</f>
        <v>157.4</v>
      </c>
      <c r="G36" s="55">
        <f>IF($D36="","",IF([21]設定!$H50="",INDEX([21]第３表!$F$80:$Q$136,MATCH([21]設定!$D50,[21]第３表!$C$80:$C$136,0),3),[21]設定!$H50))</f>
        <v>145.5</v>
      </c>
      <c r="H36" s="55">
        <f>IF($D36="","",IF([21]設定!$H50="",INDEX([21]第３表!$F$80:$Q$136,MATCH([21]設定!$D50,[21]第３表!$C$80:$C$136,0),4),[21]設定!$H50))</f>
        <v>11.9</v>
      </c>
      <c r="I36" s="55">
        <f>IF($D36="","",IF([21]設定!$H50="",INDEX([21]第３表!$F$80:$Q$136,MATCH([21]設定!$D50,[21]第３表!$C$80:$C$136,0),5),[21]設定!$H50))</f>
        <v>18.8</v>
      </c>
      <c r="J36" s="55">
        <f>IF($D36="","",IF([21]設定!$H50="",INDEX([21]第３表!$F$80:$Q$136,MATCH([21]設定!$D50,[21]第３表!$C$80:$C$136,0),6),[21]設定!$H50))</f>
        <v>164.5</v>
      </c>
      <c r="K36" s="55">
        <f>IF($D36="","",IF([21]設定!$H50="",INDEX([21]第３表!$F$80:$Q$136,MATCH([21]設定!$D50,[21]第３表!$C$80:$C$136,0),7),[21]設定!$H50))</f>
        <v>149.6</v>
      </c>
      <c r="L36" s="55">
        <f>IF($D36="","",IF([21]設定!$H50="",INDEX([21]第３表!$F$80:$Q$136,MATCH([21]設定!$D50,[21]第３表!$C$80:$C$136,0),8),[21]設定!$H50))</f>
        <v>14.9</v>
      </c>
      <c r="M36" s="55">
        <f>IF($D36="","",IF([21]設定!$H50="",INDEX([21]第３表!$F$80:$Q$136,MATCH([21]設定!$D50,[21]第３表!$C$80:$C$136,0),9),[21]設定!$H50))</f>
        <v>18.399999999999999</v>
      </c>
      <c r="N36" s="55">
        <f>IF($D36="","",IF([21]設定!$H50="",INDEX([21]第３表!$F$80:$Q$136,MATCH([21]設定!$D50,[21]第３表!$C$80:$C$136,0),10),[21]設定!$H50))</f>
        <v>143.69999999999999</v>
      </c>
      <c r="O36" s="55">
        <f>IF($D36="","",IF([21]設定!$H50="",INDEX([21]第３表!$F$80:$Q$136,MATCH([21]設定!$D50,[21]第３表!$C$80:$C$136,0),11),[21]設定!$H50))</f>
        <v>137.5</v>
      </c>
      <c r="P36" s="55">
        <f>IF($D36="","",IF([21]設定!$H50="",INDEX([21]第３表!$F$80:$Q$136,MATCH([21]設定!$D50,[21]第３表!$C$80:$C$136,0),12),[21]設定!$H50))</f>
        <v>6.2</v>
      </c>
    </row>
    <row r="37" spans="2:17" s="8" customFormat="1" ht="17.25" customHeight="1" x14ac:dyDescent="0.45">
      <c r="B37" s="49" t="str">
        <f>+[22]第５表!B37</f>
        <v>E29</v>
      </c>
      <c r="C37" s="50"/>
      <c r="D37" s="65" t="str">
        <f>+[22]第５表!D37</f>
        <v>電気機械器具</v>
      </c>
      <c r="E37" s="55">
        <f>IF($D37="","",IF([21]設定!$H51="",INDEX([21]第３表!$F$80:$Q$136,MATCH([21]設定!$D51,[21]第３表!$C$80:$C$136,0),1),[21]設定!$H51))</f>
        <v>20.399999999999999</v>
      </c>
      <c r="F37" s="55">
        <f>IF($D37="","",IF([21]設定!$H51="",INDEX([21]第３表!$F$80:$Q$136,MATCH([21]設定!$D51,[21]第３表!$C$80:$C$136,0),2),[21]設定!$H51))</f>
        <v>169.2</v>
      </c>
      <c r="G37" s="55">
        <f>IF($D37="","",IF([21]設定!$H51="",INDEX([21]第３表!$F$80:$Q$136,MATCH([21]設定!$D51,[21]第３表!$C$80:$C$136,0),3),[21]設定!$H51))</f>
        <v>157.19999999999999</v>
      </c>
      <c r="H37" s="55">
        <f>IF($D37="","",IF([21]設定!$H51="",INDEX([21]第３表!$F$80:$Q$136,MATCH([21]設定!$D51,[21]第３表!$C$80:$C$136,0),4),[21]設定!$H51))</f>
        <v>12</v>
      </c>
      <c r="I37" s="55">
        <f>IF($D37="","",IF([21]設定!$H51="",INDEX([21]第３表!$F$80:$Q$136,MATCH([21]設定!$D51,[21]第３表!$C$80:$C$136,0),5),[21]設定!$H51))</f>
        <v>20.9</v>
      </c>
      <c r="J37" s="55">
        <f>IF($D37="","",IF([21]設定!$H51="",INDEX([21]第３表!$F$80:$Q$136,MATCH([21]設定!$D51,[21]第３表!$C$80:$C$136,0),6),[21]設定!$H51))</f>
        <v>175.8</v>
      </c>
      <c r="K37" s="55">
        <f>IF($D37="","",IF([21]設定!$H51="",INDEX([21]第３表!$F$80:$Q$136,MATCH([21]設定!$D51,[21]第３表!$C$80:$C$136,0),7),[21]設定!$H51))</f>
        <v>160.5</v>
      </c>
      <c r="L37" s="55">
        <f>IF($D37="","",IF([21]設定!$H51="",INDEX([21]第３表!$F$80:$Q$136,MATCH([21]設定!$D51,[21]第３表!$C$80:$C$136,0),8),[21]設定!$H51))</f>
        <v>15.3</v>
      </c>
      <c r="M37" s="55">
        <f>IF($D37="","",IF([21]設定!$H51="",INDEX([21]第３表!$F$80:$Q$136,MATCH([21]設定!$D51,[21]第３表!$C$80:$C$136,0),9),[21]設定!$H51))</f>
        <v>19.399999999999999</v>
      </c>
      <c r="N37" s="55">
        <f>IF($D37="","",IF([21]設定!$H51="",INDEX([21]第３表!$F$80:$Q$136,MATCH([21]設定!$D51,[21]第３表!$C$80:$C$136,0),10),[21]設定!$H51))</f>
        <v>151.80000000000001</v>
      </c>
      <c r="O37" s="55">
        <f>IF($D37="","",IF([21]設定!$H51="",INDEX([21]第３表!$F$80:$Q$136,MATCH([21]設定!$D51,[21]第３表!$C$80:$C$136,0),11),[21]設定!$H51))</f>
        <v>148.4</v>
      </c>
      <c r="P37" s="55">
        <f>IF($D37="","",IF([21]設定!$H51="",INDEX([21]第３表!$F$80:$Q$136,MATCH([21]設定!$D51,[21]第３表!$C$80:$C$136,0),12),[21]設定!$H51))</f>
        <v>3.4</v>
      </c>
    </row>
    <row r="38" spans="2:17" s="8" customFormat="1" ht="17.25" customHeight="1" x14ac:dyDescent="0.45">
      <c r="B38" s="49" t="str">
        <f>+[22]第５表!B38</f>
        <v>E31</v>
      </c>
      <c r="C38" s="50"/>
      <c r="D38" s="65" t="str">
        <f>+[22]第５表!D38</f>
        <v>輸送用機械器具</v>
      </c>
      <c r="E38" s="55">
        <f>IF($D38="","",IF([21]設定!$H52="",INDEX([21]第３表!$F$80:$Q$136,MATCH([21]設定!$D52,[21]第３表!$C$80:$C$136,0),1),[21]設定!$H52))</f>
        <v>19.600000000000001</v>
      </c>
      <c r="F38" s="55">
        <f>IF($D38="","",IF([21]設定!$H52="",INDEX([21]第３表!$F$80:$Q$136,MATCH([21]設定!$D52,[21]第３表!$C$80:$C$136,0),2),[21]設定!$H52))</f>
        <v>182.6</v>
      </c>
      <c r="G38" s="55">
        <f>IF($D38="","",IF([21]設定!$H52="",INDEX([21]第３表!$F$80:$Q$136,MATCH([21]設定!$D52,[21]第３表!$C$80:$C$136,0),3),[21]設定!$H52))</f>
        <v>158</v>
      </c>
      <c r="H38" s="55">
        <f>IF($D38="","",IF([21]設定!$H52="",INDEX([21]第３表!$F$80:$Q$136,MATCH([21]設定!$D52,[21]第３表!$C$80:$C$136,0),4),[21]設定!$H52))</f>
        <v>24.6</v>
      </c>
      <c r="I38" s="55">
        <f>IF($D38="","",IF([21]設定!$H52="",INDEX([21]第３表!$F$80:$Q$136,MATCH([21]設定!$D52,[21]第３表!$C$80:$C$136,0),5),[21]設定!$H52))</f>
        <v>19.8</v>
      </c>
      <c r="J38" s="55">
        <f>IF($D38="","",IF([21]設定!$H52="",INDEX([21]第３表!$F$80:$Q$136,MATCH([21]設定!$D52,[21]第３表!$C$80:$C$136,0),6),[21]設定!$H52))</f>
        <v>188.7</v>
      </c>
      <c r="K38" s="55">
        <f>IF($D38="","",IF([21]設定!$H52="",INDEX([21]第３表!$F$80:$Q$136,MATCH([21]設定!$D52,[21]第３表!$C$80:$C$136,0),7),[21]設定!$H52))</f>
        <v>161.69999999999999</v>
      </c>
      <c r="L38" s="55">
        <f>IF($D38="","",IF([21]設定!$H52="",INDEX([21]第３表!$F$80:$Q$136,MATCH([21]設定!$D52,[21]第３表!$C$80:$C$136,0),8),[21]設定!$H52))</f>
        <v>27</v>
      </c>
      <c r="M38" s="55">
        <f>IF($D38="","",IF([21]設定!$H52="",INDEX([21]第３表!$F$80:$Q$136,MATCH([21]設定!$D52,[21]第３表!$C$80:$C$136,0),9),[21]設定!$H52))</f>
        <v>19</v>
      </c>
      <c r="N38" s="55">
        <f>IF($D38="","",IF([21]設定!$H52="",INDEX([21]第３表!$F$80:$Q$136,MATCH([21]設定!$D52,[21]第３表!$C$80:$C$136,0),10),[21]設定!$H52))</f>
        <v>159.69999999999999</v>
      </c>
      <c r="O38" s="55">
        <f>IF($D38="","",IF([21]設定!$H52="",INDEX([21]第３表!$F$80:$Q$136,MATCH([21]設定!$D52,[21]第３表!$C$80:$C$136,0),11),[21]設定!$H52))</f>
        <v>144.19999999999999</v>
      </c>
      <c r="P38" s="55">
        <f>IF($D38="","",IF([21]設定!$H52="",INDEX([21]第３表!$F$80:$Q$136,MATCH([21]設定!$D52,[21]第３表!$C$80:$C$136,0),12),[21]設定!$H52))</f>
        <v>15.5</v>
      </c>
    </row>
    <row r="39" spans="2:17" s="8" customFormat="1" ht="17.25" customHeight="1" x14ac:dyDescent="0.45">
      <c r="B39" s="66" t="str">
        <f>+[22]第５表!B39</f>
        <v>ES</v>
      </c>
      <c r="C39" s="67"/>
      <c r="D39" s="68" t="str">
        <f>+[22]第５表!D39</f>
        <v>はん用・生産用機械器具</v>
      </c>
      <c r="E39" s="69">
        <f>IF($D39="","",IF([21]設定!$H53="",INDEX([21]第３表!$F$80:$Q$136,MATCH([21]設定!$D53,[21]第３表!$C$80:$C$136,0),1),[21]設定!$H53))</f>
        <v>20.8</v>
      </c>
      <c r="F39" s="69">
        <f>IF($D39="","",IF([21]設定!$H53="",INDEX([21]第３表!$F$80:$Q$136,MATCH([21]設定!$D53,[21]第３表!$C$80:$C$136,0),2),[21]設定!$H53))</f>
        <v>183.4</v>
      </c>
      <c r="G39" s="69">
        <f>IF($D39="","",IF([21]設定!$H53="",INDEX([21]第３表!$F$80:$Q$136,MATCH([21]設定!$D53,[21]第３表!$C$80:$C$136,0),3),[21]設定!$H53))</f>
        <v>155.80000000000001</v>
      </c>
      <c r="H39" s="69">
        <f>IF($D39="","",IF([21]設定!$H53="",INDEX([21]第３表!$F$80:$Q$136,MATCH([21]設定!$D53,[21]第３表!$C$80:$C$136,0),4),[21]設定!$H53))</f>
        <v>27.6</v>
      </c>
      <c r="I39" s="69">
        <f>IF($D39="","",IF([21]設定!$H53="",INDEX([21]第３表!$F$80:$Q$136,MATCH([21]設定!$D53,[21]第３表!$C$80:$C$136,0),5),[21]設定!$H53))</f>
        <v>21.6</v>
      </c>
      <c r="J39" s="69">
        <f>IF($D39="","",IF([21]設定!$H53="",INDEX([21]第３表!$F$80:$Q$136,MATCH([21]設定!$D53,[21]第３表!$C$80:$C$136,0),6),[21]設定!$H53))</f>
        <v>196</v>
      </c>
      <c r="K39" s="69">
        <f>IF($D39="","",IF([21]設定!$H53="",INDEX([21]第３表!$F$80:$Q$136,MATCH([21]設定!$D53,[21]第３表!$C$80:$C$136,0),7),[21]設定!$H53))</f>
        <v>158.69999999999999</v>
      </c>
      <c r="L39" s="69">
        <f>IF($D39="","",IF([21]設定!$H53="",INDEX([21]第３表!$F$80:$Q$136,MATCH([21]設定!$D53,[21]第３表!$C$80:$C$136,0),8),[21]設定!$H53))</f>
        <v>37.299999999999997</v>
      </c>
      <c r="M39" s="69">
        <f>IF($D39="","",IF([21]設定!$H53="",INDEX([21]第３表!$F$80:$Q$136,MATCH([21]設定!$D53,[21]第３表!$C$80:$C$136,0),9),[21]設定!$H53))</f>
        <v>18.899999999999999</v>
      </c>
      <c r="N39" s="69">
        <f>IF($D39="","",IF([21]設定!$H53="",INDEX([21]第３表!$F$80:$Q$136,MATCH([21]設定!$D53,[21]第３表!$C$80:$C$136,0),10),[21]設定!$H53))</f>
        <v>154.80000000000001</v>
      </c>
      <c r="O39" s="69">
        <f>IF($D39="","",IF([21]設定!$H53="",INDEX([21]第３表!$F$80:$Q$136,MATCH([21]設定!$D53,[21]第３表!$C$80:$C$136,0),11),[21]設定!$H53))</f>
        <v>149.1</v>
      </c>
      <c r="P39" s="69">
        <f>IF($D39="","",IF([21]設定!$H53="",INDEX([21]第３表!$F$80:$Q$136,MATCH([21]設定!$D53,[21]第３表!$C$80:$C$136,0),12),[21]設定!$H53))</f>
        <v>5.7</v>
      </c>
    </row>
    <row r="40" spans="2:17" s="8" customFormat="1" ht="16.2" customHeight="1" x14ac:dyDescent="0.45">
      <c r="B40" s="70" t="str">
        <f>+[22]第５表!B40</f>
        <v>R91</v>
      </c>
      <c r="C40" s="71"/>
      <c r="D40" s="72" t="str">
        <f>+[22]第５表!D40</f>
        <v>職業紹介・労働者派遣業</v>
      </c>
      <c r="E40" s="73">
        <f>IF($D40="","",IF([21]設定!$H54="",INDEX([21]第３表!$F$80:$Q$136,MATCH([21]設定!$D54,[21]第３表!$C$80:$C$136,0),1),[21]設定!$H54))</f>
        <v>18.5</v>
      </c>
      <c r="F40" s="73">
        <f>IF($D40="","",IF([21]設定!$H54="",INDEX([21]第３表!$F$80:$Q$136,MATCH([21]設定!$D54,[21]第３表!$C$80:$C$136,0),2),[21]設定!$H54))</f>
        <v>146.19999999999999</v>
      </c>
      <c r="G40" s="73">
        <f>IF($D40="","",IF([21]設定!$H54="",INDEX([21]第３表!$F$80:$Q$136,MATCH([21]設定!$D54,[21]第３表!$C$80:$C$136,0),3),[21]設定!$H54))</f>
        <v>138.1</v>
      </c>
      <c r="H40" s="73">
        <f>IF($D40="","",IF([21]設定!$H54="",INDEX([21]第３表!$F$80:$Q$136,MATCH([21]設定!$D54,[21]第３表!$C$80:$C$136,0),4),[21]設定!$H54))</f>
        <v>8.1</v>
      </c>
      <c r="I40" s="73">
        <f>IF($D40="","",IF([21]設定!$H54="",INDEX([21]第３表!$F$80:$Q$136,MATCH([21]設定!$D54,[21]第３表!$C$80:$C$136,0),5),[21]設定!$H54))</f>
        <v>19</v>
      </c>
      <c r="J40" s="73">
        <f>IF($D40="","",IF([21]設定!$H54="",INDEX([21]第３表!$F$80:$Q$136,MATCH([21]設定!$D54,[21]第３表!$C$80:$C$136,0),6),[21]設定!$H54))</f>
        <v>161.69999999999999</v>
      </c>
      <c r="K40" s="73">
        <f>IF($D40="","",IF([21]設定!$H54="",INDEX([21]第３表!$F$80:$Q$136,MATCH([21]設定!$D54,[21]第３表!$C$80:$C$136,0),7),[21]設定!$H54))</f>
        <v>149</v>
      </c>
      <c r="L40" s="73">
        <f>IF($D40="","",IF([21]設定!$H54="",INDEX([21]第３表!$F$80:$Q$136,MATCH([21]設定!$D54,[21]第３表!$C$80:$C$136,0),8),[21]設定!$H54))</f>
        <v>12.7</v>
      </c>
      <c r="M40" s="73">
        <f>IF($D40="","",IF([21]設定!$H54="",INDEX([21]第３表!$F$80:$Q$136,MATCH([21]設定!$D54,[21]第３表!$C$80:$C$136,0),9),[21]設定!$H54))</f>
        <v>18.100000000000001</v>
      </c>
      <c r="N40" s="73">
        <f>IF($D40="","",IF([21]設定!$H54="",INDEX([21]第３表!$F$80:$Q$136,MATCH([21]設定!$D54,[21]第３表!$C$80:$C$136,0),10),[21]設定!$H54))</f>
        <v>134.30000000000001</v>
      </c>
      <c r="O40" s="73">
        <f>IF($D40="","",IF([21]設定!$H54="",INDEX([21]第３表!$F$80:$Q$136,MATCH([21]設定!$D54,[21]第３表!$C$80:$C$136,0),11),[21]設定!$H54))</f>
        <v>129.80000000000001</v>
      </c>
      <c r="P40" s="73">
        <f>IF($D40="","",IF([21]設定!$H54="",INDEX([21]第３表!$F$80:$Q$136,MATCH([21]設定!$D54,[21]第３表!$C$80:$C$136,0),12),[21]設定!$H54))</f>
        <v>4.5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IF($D47="","",IF([21]設定!$I23="",INDEX([21]第３表!$F$10:$Q$66,MATCH([21]設定!$D23,[21]第３表!$C$10:$C$66,0),1),[21]設定!$I23))</f>
        <v>18.899999999999999</v>
      </c>
      <c r="F47" s="48">
        <f>IF($D47="","",IF([21]設定!$I23="",INDEX([21]第３表!$F$10:$Q$66,MATCH([21]設定!$D23,[21]第３表!$C$10:$C$66,0),2),[21]設定!$I23))</f>
        <v>147.4</v>
      </c>
      <c r="G47" s="48">
        <f>IF($D47="","",IF([21]設定!$I23="",INDEX([21]第３表!$F$10:$Q$66,MATCH([21]設定!$D23,[21]第３表!$C$10:$C$66,0),3),[21]設定!$I23))</f>
        <v>136.69999999999999</v>
      </c>
      <c r="H47" s="48">
        <f>IF($D47="","",IF([21]設定!$I23="",INDEX([21]第３表!$F$10:$Q$66,MATCH([21]設定!$D23,[21]第３表!$C$10:$C$66,0),4),[21]設定!$I23))</f>
        <v>10.7</v>
      </c>
      <c r="I47" s="48">
        <f>IF($D47="","",IF([21]設定!$I23="",INDEX([21]第３表!$F$10:$Q$66,MATCH([21]設定!$D23,[21]第３表!$C$10:$C$66,0),5),[21]設定!$I23))</f>
        <v>19.399999999999999</v>
      </c>
      <c r="J47" s="48">
        <f>IF($D47="","",IF([21]設定!$I23="",INDEX([21]第３表!$F$10:$Q$66,MATCH([21]設定!$D23,[21]第３表!$C$10:$C$66,0),6),[21]設定!$I23))</f>
        <v>161</v>
      </c>
      <c r="K47" s="48">
        <f>IF($D47="","",IF([21]設定!$I23="",INDEX([21]第３表!$F$10:$Q$66,MATCH([21]設定!$D23,[21]第３表!$C$10:$C$66,0),7),[21]設定!$I23))</f>
        <v>145.80000000000001</v>
      </c>
      <c r="L47" s="48">
        <f>IF($D47="","",IF([21]設定!$I23="",INDEX([21]第３表!$F$10:$Q$66,MATCH([21]設定!$D23,[21]第３表!$C$10:$C$66,0),8),[21]設定!$I23))</f>
        <v>15.2</v>
      </c>
      <c r="M47" s="48">
        <f>IF($D47="","",IF([21]設定!$I23="",INDEX([21]第３表!$F$10:$Q$66,MATCH([21]設定!$D23,[21]第３表!$C$10:$C$66,0),9),[21]設定!$I23))</f>
        <v>18.399999999999999</v>
      </c>
      <c r="N47" s="48">
        <f>IF($D47="","",IF([21]設定!$I23="",INDEX([21]第３表!$F$10:$Q$66,MATCH([21]設定!$D23,[21]第３表!$C$10:$C$66,0),10),[21]設定!$I23))</f>
        <v>134</v>
      </c>
      <c r="O47" s="48">
        <f>IF($D47="","",IF([21]設定!$I23="",INDEX([21]第３表!$F$10:$Q$66,MATCH([21]設定!$D23,[21]第３表!$C$10:$C$66,0),11),[21]設定!$I23))</f>
        <v>127.7</v>
      </c>
      <c r="P47" s="48">
        <f>IF($D47="","",IF([21]設定!$I23="",INDEX([21]第３表!$F$10:$Q$66,MATCH([21]設定!$D23,[21]第３表!$C$10:$C$66,0),12),[21]設定!$I23))</f>
        <v>6.3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IF($D48="","",IF([21]設定!$I24="",INDEX([21]第３表!$F$10:$Q$66,MATCH([21]設定!$D24,[21]第３表!$C$10:$C$66,0),1),[21]設定!$I24))</f>
        <v>20.7</v>
      </c>
      <c r="F48" s="52">
        <f>IF($D48="","",IF([21]設定!$I24="",INDEX([21]第３表!$F$10:$Q$66,MATCH([21]設定!$D24,[21]第３表!$C$10:$C$66,0),2),[21]設定!$I24))</f>
        <v>166.1</v>
      </c>
      <c r="G48" s="52">
        <f>IF($D48="","",IF([21]設定!$I24="",INDEX([21]第３表!$F$10:$Q$66,MATCH([21]設定!$D24,[21]第３表!$C$10:$C$66,0),3),[21]設定!$I24))</f>
        <v>155.19999999999999</v>
      </c>
      <c r="H48" s="53">
        <f>IF($D48="","",IF([21]設定!$I24="",INDEX([21]第３表!$F$10:$Q$66,MATCH([21]設定!$D24,[21]第３表!$C$10:$C$66,0),4),[21]設定!$I24))</f>
        <v>10.9</v>
      </c>
      <c r="I48" s="54">
        <f>IF($D48="","",IF([21]設定!$I24="",INDEX([21]第３表!$F$10:$Q$66,MATCH([21]設定!$D24,[21]第３表!$C$10:$C$66,0),5),[21]設定!$I24))</f>
        <v>20.8</v>
      </c>
      <c r="J48" s="54">
        <f>IF($D48="","",IF([21]設定!$I24="",INDEX([21]第３表!$F$10:$Q$66,MATCH([21]設定!$D24,[21]第３表!$C$10:$C$66,0),6),[21]設定!$I24))</f>
        <v>169.7</v>
      </c>
      <c r="K48" s="54">
        <f>IF($D48="","",IF([21]設定!$I24="",INDEX([21]第３表!$F$10:$Q$66,MATCH([21]設定!$D24,[21]第３表!$C$10:$C$66,0),7),[21]設定!$I24))</f>
        <v>157.19999999999999</v>
      </c>
      <c r="L48" s="55">
        <f>IF($D48="","",IF([21]設定!$I24="",INDEX([21]第３表!$F$10:$Q$66,MATCH([21]設定!$D24,[21]第３表!$C$10:$C$66,0),8),[21]設定!$I24))</f>
        <v>12.5</v>
      </c>
      <c r="M48" s="56">
        <f>IF($D48="","",IF([21]設定!$I24="",INDEX([21]第３表!$F$10:$Q$66,MATCH([21]設定!$D24,[21]第３表!$C$10:$C$66,0),9),[21]設定!$I24))</f>
        <v>20.5</v>
      </c>
      <c r="N48" s="56">
        <f>IF($D48="","",IF([21]設定!$I24="",INDEX([21]第３表!$F$10:$Q$66,MATCH([21]設定!$D24,[21]第３表!$C$10:$C$66,0),10),[21]設定!$I24))</f>
        <v>152.30000000000001</v>
      </c>
      <c r="O48" s="56">
        <f>IF($D48="","",IF([21]設定!$I24="",INDEX([21]第３表!$F$10:$Q$66,MATCH([21]設定!$D24,[21]第３表!$C$10:$C$66,0),11),[21]設定!$I24))</f>
        <v>147.4</v>
      </c>
      <c r="P48" s="57">
        <f>IF($D48="","",IF([21]設定!$I24="",INDEX([21]第３表!$F$10:$Q$66,MATCH([21]設定!$D24,[21]第３表!$C$10:$C$66,0),12),[21]設定!$I24))</f>
        <v>4.9000000000000004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IF($D49="","",IF([21]設定!$I25="",INDEX([21]第３表!$F$10:$Q$66,MATCH([21]設定!$D25,[21]第３表!$C$10:$C$66,0),1),[21]設定!$I25))</f>
        <v>19.8</v>
      </c>
      <c r="F49" s="52">
        <f>IF($D49="","",IF([21]設定!$I25="",INDEX([21]第３表!$F$10:$Q$66,MATCH([21]設定!$D25,[21]第３表!$C$10:$C$66,0),2),[21]設定!$I25))</f>
        <v>163.5</v>
      </c>
      <c r="G49" s="52">
        <f>IF($D49="","",IF([21]設定!$I25="",INDEX([21]第３表!$F$10:$Q$66,MATCH([21]設定!$D25,[21]第３表!$C$10:$C$66,0),3),[21]設定!$I25))</f>
        <v>149.80000000000001</v>
      </c>
      <c r="H49" s="53">
        <f>IF($D49="","",IF([21]設定!$I25="",INDEX([21]第３表!$F$10:$Q$66,MATCH([21]設定!$D25,[21]第３表!$C$10:$C$66,0),4),[21]設定!$I25))</f>
        <v>13.7</v>
      </c>
      <c r="I49" s="54">
        <f>IF($D49="","",IF([21]設定!$I25="",INDEX([21]第３表!$F$10:$Q$66,MATCH([21]設定!$D25,[21]第３表!$C$10:$C$66,0),5),[21]設定!$I25))</f>
        <v>20.100000000000001</v>
      </c>
      <c r="J49" s="54">
        <f>IF($D49="","",IF([21]設定!$I25="",INDEX([21]第３表!$F$10:$Q$66,MATCH([21]設定!$D25,[21]第３表!$C$10:$C$66,0),6),[21]設定!$I25))</f>
        <v>170.4</v>
      </c>
      <c r="K49" s="54">
        <f>IF($D49="","",IF([21]設定!$I25="",INDEX([21]第３表!$F$10:$Q$66,MATCH([21]設定!$D25,[21]第３表!$C$10:$C$66,0),7),[21]設定!$I25))</f>
        <v>153.30000000000001</v>
      </c>
      <c r="L49" s="55">
        <f>IF($D49="","",IF([21]設定!$I25="",INDEX([21]第３表!$F$10:$Q$66,MATCH([21]設定!$D25,[21]第３表!$C$10:$C$66,0),8),[21]設定!$I25))</f>
        <v>17.100000000000001</v>
      </c>
      <c r="M49" s="56">
        <f>IF($D49="","",IF([21]設定!$I25="",INDEX([21]第３表!$F$10:$Q$66,MATCH([21]設定!$D25,[21]第３表!$C$10:$C$66,0),9),[21]設定!$I25))</f>
        <v>19.5</v>
      </c>
      <c r="N49" s="56">
        <f>IF($D49="","",IF([21]設定!$I25="",INDEX([21]第３表!$F$10:$Q$66,MATCH([21]設定!$D25,[21]第３表!$C$10:$C$66,0),10),[21]設定!$I25))</f>
        <v>152.1</v>
      </c>
      <c r="O49" s="56">
        <f>IF($D49="","",IF([21]設定!$I25="",INDEX([21]第３表!$F$10:$Q$66,MATCH([21]設定!$D25,[21]第３表!$C$10:$C$66,0),11),[21]設定!$I25))</f>
        <v>143.9</v>
      </c>
      <c r="P49" s="57">
        <f>IF($D49="","",IF([21]設定!$I25="",INDEX([21]第３表!$F$10:$Q$66,MATCH([21]設定!$D25,[21]第３表!$C$10:$C$66,0),12),[21]設定!$I25))</f>
        <v>8.1999999999999993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IF($D50="","",IF([21]設定!$I26="",INDEX([21]第３表!$F$10:$Q$66,MATCH([21]設定!$D26,[21]第３表!$C$10:$C$66,0),1),[21]設定!$I26))</f>
        <v>18.399999999999999</v>
      </c>
      <c r="F50" s="52">
        <f>IF($D50="","",IF([21]設定!$I26="",INDEX([21]第３表!$F$10:$Q$66,MATCH([21]設定!$D26,[21]第３表!$C$10:$C$66,0),2),[21]設定!$I26))</f>
        <v>155.19999999999999</v>
      </c>
      <c r="G50" s="52">
        <f>IF($D50="","",IF([21]設定!$I26="",INDEX([21]第３表!$F$10:$Q$66,MATCH([21]設定!$D26,[21]第３表!$C$10:$C$66,0),3),[21]設定!$I26))</f>
        <v>139.9</v>
      </c>
      <c r="H50" s="53">
        <f>IF($D50="","",IF([21]設定!$I26="",INDEX([21]第３表!$F$10:$Q$66,MATCH([21]設定!$D26,[21]第３表!$C$10:$C$66,0),4),[21]設定!$I26))</f>
        <v>15.3</v>
      </c>
      <c r="I50" s="54">
        <f>IF($D50="","",IF([21]設定!$I26="",INDEX([21]第３表!$F$10:$Q$66,MATCH([21]設定!$D26,[21]第３表!$C$10:$C$66,0),5),[21]設定!$I26))</f>
        <v>18.5</v>
      </c>
      <c r="J50" s="54">
        <f>IF($D50="","",IF([21]設定!$I26="",INDEX([21]第３表!$F$10:$Q$66,MATCH([21]設定!$D26,[21]第３表!$C$10:$C$66,0),6),[21]設定!$I26))</f>
        <v>159.69999999999999</v>
      </c>
      <c r="K50" s="54">
        <f>IF($D50="","",IF([21]設定!$I26="",INDEX([21]第３表!$F$10:$Q$66,MATCH([21]設定!$D26,[21]第３表!$C$10:$C$66,0),7),[21]設定!$I26))</f>
        <v>142.6</v>
      </c>
      <c r="L50" s="55">
        <f>IF($D50="","",IF([21]設定!$I26="",INDEX([21]第３表!$F$10:$Q$66,MATCH([21]設定!$D26,[21]第３表!$C$10:$C$66,0),8),[21]設定!$I26))</f>
        <v>17.100000000000001</v>
      </c>
      <c r="M50" s="56">
        <f>IF($D50="","",IF([21]設定!$I26="",INDEX([21]第３表!$F$10:$Q$66,MATCH([21]設定!$D26,[21]第３表!$C$10:$C$66,0),9),[21]設定!$I26))</f>
        <v>17.600000000000001</v>
      </c>
      <c r="N50" s="56">
        <f>IF($D50="","",IF([21]設定!$I26="",INDEX([21]第３表!$F$10:$Q$66,MATCH([21]設定!$D26,[21]第３表!$C$10:$C$66,0),10),[21]設定!$I26))</f>
        <v>125.6</v>
      </c>
      <c r="O50" s="56">
        <f>IF($D50="","",IF([21]設定!$I26="",INDEX([21]第３表!$F$10:$Q$66,MATCH([21]設定!$D26,[21]第３表!$C$10:$C$66,0),11),[21]設定!$I26))</f>
        <v>121.9</v>
      </c>
      <c r="P50" s="57">
        <f>IF($D50="","",IF([21]設定!$I26="",INDEX([21]第３表!$F$10:$Q$66,MATCH([21]設定!$D26,[21]第３表!$C$10:$C$66,0),12),[21]設定!$I26))</f>
        <v>3.7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IF($D51="","",IF([21]設定!$I27="",INDEX([21]第３表!$F$10:$Q$66,MATCH([21]設定!$D27,[21]第３表!$C$10:$C$66,0),1),[21]設定!$I27))</f>
        <v>19.2</v>
      </c>
      <c r="F51" s="52">
        <f>IF($D51="","",IF([21]設定!$I27="",INDEX([21]第３表!$F$10:$Q$66,MATCH([21]設定!$D27,[21]第３表!$C$10:$C$66,0),2),[21]設定!$I27))</f>
        <v>157.5</v>
      </c>
      <c r="G51" s="52">
        <f>IF($D51="","",IF([21]設定!$I27="",INDEX([21]第３表!$F$10:$Q$66,MATCH([21]設定!$D27,[21]第３表!$C$10:$C$66,0),3),[21]設定!$I27))</f>
        <v>142.1</v>
      </c>
      <c r="H51" s="53">
        <f>IF($D51="","",IF([21]設定!$I27="",INDEX([21]第３表!$F$10:$Q$66,MATCH([21]設定!$D27,[21]第３表!$C$10:$C$66,0),4),[21]設定!$I27))</f>
        <v>15.4</v>
      </c>
      <c r="I51" s="54">
        <f>IF($D51="","",IF([21]設定!$I27="",INDEX([21]第３表!$F$10:$Q$66,MATCH([21]設定!$D27,[21]第３表!$C$10:$C$66,0),5),[21]設定!$I27))</f>
        <v>19.399999999999999</v>
      </c>
      <c r="J51" s="54">
        <f>IF($D51="","",IF([21]設定!$I27="",INDEX([21]第３表!$F$10:$Q$66,MATCH([21]設定!$D27,[21]第３表!$C$10:$C$66,0),6),[21]設定!$I27))</f>
        <v>160</v>
      </c>
      <c r="K51" s="54">
        <f>IF($D51="","",IF([21]設定!$I27="",INDEX([21]第３表!$F$10:$Q$66,MATCH([21]設定!$D27,[21]第３表!$C$10:$C$66,0),7),[21]設定!$I27))</f>
        <v>144.4</v>
      </c>
      <c r="L51" s="55">
        <f>IF($D51="","",IF([21]設定!$I27="",INDEX([21]第３表!$F$10:$Q$66,MATCH([21]設定!$D27,[21]第３表!$C$10:$C$66,0),8),[21]設定!$I27))</f>
        <v>15.6</v>
      </c>
      <c r="M51" s="56">
        <f>IF($D51="","",IF([21]設定!$I27="",INDEX([21]第３表!$F$10:$Q$66,MATCH([21]設定!$D27,[21]第３表!$C$10:$C$66,0),9),[21]設定!$I27))</f>
        <v>18.8</v>
      </c>
      <c r="N51" s="56">
        <f>IF($D51="","",IF([21]設定!$I27="",INDEX([21]第３表!$F$10:$Q$66,MATCH([21]設定!$D27,[21]第３表!$C$10:$C$66,0),10),[21]設定!$I27))</f>
        <v>151.9</v>
      </c>
      <c r="O51" s="56">
        <f>IF($D51="","",IF([21]設定!$I27="",INDEX([21]第３表!$F$10:$Q$66,MATCH([21]設定!$D27,[21]第３表!$C$10:$C$66,0),11),[21]設定!$I27))</f>
        <v>137</v>
      </c>
      <c r="P51" s="57">
        <f>IF($D51="","",IF([21]設定!$I27="",INDEX([21]第３表!$F$10:$Q$66,MATCH([21]設定!$D27,[21]第３表!$C$10:$C$66,0),12),[21]設定!$I27))</f>
        <v>14.9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IF($D52="","",IF([21]設定!$I28="",INDEX([21]第３表!$F$10:$Q$66,MATCH([21]設定!$D28,[21]第３表!$C$10:$C$66,0),1),[21]設定!$I28))</f>
        <v>20.9</v>
      </c>
      <c r="F52" s="52">
        <f>IF($D52="","",IF([21]設定!$I28="",INDEX([21]第３表!$F$10:$Q$66,MATCH([21]設定!$D28,[21]第３表!$C$10:$C$66,0),2),[21]設定!$I28))</f>
        <v>177.4</v>
      </c>
      <c r="G52" s="52">
        <f>IF($D52="","",IF([21]設定!$I28="",INDEX([21]第３表!$F$10:$Q$66,MATCH([21]設定!$D28,[21]第３表!$C$10:$C$66,0),3),[21]設定!$I28))</f>
        <v>152.69999999999999</v>
      </c>
      <c r="H52" s="53">
        <f>IF($D52="","",IF([21]設定!$I28="",INDEX([21]第３表!$F$10:$Q$66,MATCH([21]設定!$D28,[21]第３表!$C$10:$C$66,0),4),[21]設定!$I28))</f>
        <v>24.7</v>
      </c>
      <c r="I52" s="54">
        <f>IF($D52="","",IF([21]設定!$I28="",INDEX([21]第３表!$F$10:$Q$66,MATCH([21]設定!$D28,[21]第３表!$C$10:$C$66,0),5),[21]設定!$I28))</f>
        <v>21</v>
      </c>
      <c r="J52" s="54">
        <f>IF($D52="","",IF([21]設定!$I28="",INDEX([21]第３表!$F$10:$Q$66,MATCH([21]設定!$D28,[21]第３表!$C$10:$C$66,0),6),[21]設定!$I28))</f>
        <v>181.7</v>
      </c>
      <c r="K52" s="54">
        <f>IF($D52="","",IF([21]設定!$I28="",INDEX([21]第３表!$F$10:$Q$66,MATCH([21]設定!$D28,[21]第３表!$C$10:$C$66,0),7),[21]設定!$I28))</f>
        <v>154.69999999999999</v>
      </c>
      <c r="L52" s="55">
        <f>IF($D52="","",IF([21]設定!$I28="",INDEX([21]第３表!$F$10:$Q$66,MATCH([21]設定!$D28,[21]第３表!$C$10:$C$66,0),8),[21]設定!$I28))</f>
        <v>27</v>
      </c>
      <c r="M52" s="56">
        <f>IF($D52="","",IF([21]設定!$I28="",INDEX([21]第３表!$F$10:$Q$66,MATCH([21]設定!$D28,[21]第３表!$C$10:$C$66,0),9),[21]設定!$I28))</f>
        <v>20.3</v>
      </c>
      <c r="N52" s="56">
        <f>IF($D52="","",IF([21]設定!$I28="",INDEX([21]第３表!$F$10:$Q$66,MATCH([21]設定!$D28,[21]第３表!$C$10:$C$66,0),10),[21]設定!$I28))</f>
        <v>141.4</v>
      </c>
      <c r="O52" s="56">
        <f>IF($D52="","",IF([21]設定!$I28="",INDEX([21]第３表!$F$10:$Q$66,MATCH([21]設定!$D28,[21]第３表!$C$10:$C$66,0),11),[21]設定!$I28))</f>
        <v>135.9</v>
      </c>
      <c r="P52" s="57">
        <f>IF($D52="","",IF([21]設定!$I28="",INDEX([21]第３表!$F$10:$Q$66,MATCH([21]設定!$D28,[21]第３表!$C$10:$C$66,0),12),[21]設定!$I28))</f>
        <v>5.5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IF($D53="","",IF([21]設定!$I29="",INDEX([21]第３表!$F$10:$Q$66,MATCH([21]設定!$D29,[21]第３表!$C$10:$C$66,0),1),[21]設定!$I29))</f>
        <v>18.399999999999999</v>
      </c>
      <c r="F53" s="52">
        <f>IF($D53="","",IF([21]設定!$I29="",INDEX([21]第３表!$F$10:$Q$66,MATCH([21]設定!$D29,[21]第３表!$C$10:$C$66,0),2),[21]設定!$I29))</f>
        <v>128</v>
      </c>
      <c r="G53" s="52">
        <f>IF($D53="","",IF([21]設定!$I29="",INDEX([21]第３表!$F$10:$Q$66,MATCH([21]設定!$D29,[21]第３表!$C$10:$C$66,0),3),[21]設定!$I29))</f>
        <v>121</v>
      </c>
      <c r="H53" s="53">
        <f>IF($D53="","",IF([21]設定!$I29="",INDEX([21]第３表!$F$10:$Q$66,MATCH([21]設定!$D29,[21]第３表!$C$10:$C$66,0),4),[21]設定!$I29))</f>
        <v>7</v>
      </c>
      <c r="I53" s="54">
        <f>IF($D53="","",IF([21]設定!$I29="",INDEX([21]第３表!$F$10:$Q$66,MATCH([21]設定!$D29,[21]第３表!$C$10:$C$66,0),5),[21]設定!$I29))</f>
        <v>19.600000000000001</v>
      </c>
      <c r="J53" s="54">
        <f>IF($D53="","",IF([21]設定!$I29="",INDEX([21]第３表!$F$10:$Q$66,MATCH([21]設定!$D29,[21]第３表!$C$10:$C$66,0),6),[21]設定!$I29))</f>
        <v>153.80000000000001</v>
      </c>
      <c r="K53" s="54">
        <f>IF($D53="","",IF([21]設定!$I29="",INDEX([21]第３表!$F$10:$Q$66,MATCH([21]設定!$D29,[21]第３表!$C$10:$C$66,0),7),[21]設定!$I29))</f>
        <v>141.9</v>
      </c>
      <c r="L53" s="55">
        <f>IF($D53="","",IF([21]設定!$I29="",INDEX([21]第３表!$F$10:$Q$66,MATCH([21]設定!$D29,[21]第３表!$C$10:$C$66,0),8),[21]設定!$I29))</f>
        <v>11.9</v>
      </c>
      <c r="M53" s="56">
        <f>IF($D53="","",IF([21]設定!$I29="",INDEX([21]第３表!$F$10:$Q$66,MATCH([21]設定!$D29,[21]第３表!$C$10:$C$66,0),9),[21]設定!$I29))</f>
        <v>17.600000000000001</v>
      </c>
      <c r="N53" s="56">
        <f>IF($D53="","",IF([21]設定!$I29="",INDEX([21]第３表!$F$10:$Q$66,MATCH([21]設定!$D29,[21]第３表!$C$10:$C$66,0),10),[21]設定!$I29))</f>
        <v>110.6</v>
      </c>
      <c r="O53" s="56">
        <f>IF($D53="","",IF([21]設定!$I29="",INDEX([21]第３表!$F$10:$Q$66,MATCH([21]設定!$D29,[21]第３表!$C$10:$C$66,0),11),[21]設定!$I29))</f>
        <v>106.9</v>
      </c>
      <c r="P53" s="57">
        <f>IF($D53="","",IF([21]設定!$I29="",INDEX([21]第３表!$F$10:$Q$66,MATCH([21]設定!$D29,[21]第３表!$C$10:$C$66,0),12),[21]設定!$I29))</f>
        <v>3.7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>
        <f>IF($D54="","",IF([21]設定!$I30="",INDEX([21]第３表!$F$10:$Q$66,MATCH([21]設定!$D30,[21]第３表!$C$10:$C$66,0),1),[21]設定!$I30))</f>
        <v>18.8</v>
      </c>
      <c r="F54" s="52">
        <f>IF($D54="","",IF([21]設定!$I30="",INDEX([21]第３表!$F$10:$Q$66,MATCH([21]設定!$D30,[21]第３表!$C$10:$C$66,0),2),[21]設定!$I30))</f>
        <v>134.9</v>
      </c>
      <c r="G54" s="52">
        <f>IF($D54="","",IF([21]設定!$I30="",INDEX([21]第３表!$F$10:$Q$66,MATCH([21]設定!$D30,[21]第３表!$C$10:$C$66,0),3),[21]設定!$I30))</f>
        <v>130.4</v>
      </c>
      <c r="H54" s="53">
        <f>IF($D54="","",IF([21]設定!$I30="",INDEX([21]第３表!$F$10:$Q$66,MATCH([21]設定!$D30,[21]第３表!$C$10:$C$66,0),4),[21]設定!$I30))</f>
        <v>4.5</v>
      </c>
      <c r="I54" s="54">
        <f>IF($D54="","",IF([21]設定!$I30="",INDEX([21]第３表!$F$10:$Q$66,MATCH([21]設定!$D30,[21]第３表!$C$10:$C$66,0),5),[21]設定!$I30))</f>
        <v>18.8</v>
      </c>
      <c r="J54" s="54">
        <f>IF($D54="","",IF([21]設定!$I30="",INDEX([21]第３表!$F$10:$Q$66,MATCH([21]設定!$D30,[21]第３表!$C$10:$C$66,0),6),[21]設定!$I30))</f>
        <v>136.80000000000001</v>
      </c>
      <c r="K54" s="54">
        <f>IF($D54="","",IF([21]設定!$I30="",INDEX([21]第３表!$F$10:$Q$66,MATCH([21]設定!$D30,[21]第３表!$C$10:$C$66,0),7),[21]設定!$I30))</f>
        <v>133.9</v>
      </c>
      <c r="L54" s="55">
        <f>IF($D54="","",IF([21]設定!$I30="",INDEX([21]第３表!$F$10:$Q$66,MATCH([21]設定!$D30,[21]第３表!$C$10:$C$66,0),8),[21]設定!$I30))</f>
        <v>2.9</v>
      </c>
      <c r="M54" s="56">
        <f>IF($D54="","",IF([21]設定!$I30="",INDEX([21]第３表!$F$10:$Q$66,MATCH([21]設定!$D30,[21]第３表!$C$10:$C$66,0),9),[21]設定!$I30))</f>
        <v>18.8</v>
      </c>
      <c r="N54" s="56">
        <f>IF($D54="","",IF([21]設定!$I30="",INDEX([21]第３表!$F$10:$Q$66,MATCH([21]設定!$D30,[21]第３表!$C$10:$C$66,0),10),[21]設定!$I30))</f>
        <v>133.4</v>
      </c>
      <c r="O54" s="56">
        <f>IF($D54="","",IF([21]設定!$I30="",INDEX([21]第３表!$F$10:$Q$66,MATCH([21]設定!$D30,[21]第３表!$C$10:$C$66,0),11),[21]設定!$I30))</f>
        <v>127.6</v>
      </c>
      <c r="P54" s="57">
        <f>IF($D54="","",IF([21]設定!$I30="",INDEX([21]第３表!$F$10:$Q$66,MATCH([21]設定!$D30,[21]第３表!$C$10:$C$66,0),12),[21]設定!$I30))</f>
        <v>5.8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IF($D55="","",IF([21]設定!$I31="",INDEX([21]第３表!$F$10:$Q$66,MATCH([21]設定!$D31,[21]第３表!$C$10:$C$66,0),1),[21]設定!$I31))</f>
        <v>19.8</v>
      </c>
      <c r="F55" s="52">
        <f>IF($D55="","",IF([21]設定!$I31="",INDEX([21]第３表!$F$10:$Q$66,MATCH([21]設定!$D31,[21]第３表!$C$10:$C$66,0),2),[21]設定!$I31))</f>
        <v>150.19999999999999</v>
      </c>
      <c r="G55" s="52">
        <f>IF($D55="","",IF([21]設定!$I31="",INDEX([21]第３表!$F$10:$Q$66,MATCH([21]設定!$D31,[21]第３表!$C$10:$C$66,0),3),[21]設定!$I31))</f>
        <v>146.4</v>
      </c>
      <c r="H55" s="52">
        <f>IF($D55="","",IF([21]設定!$I31="",INDEX([21]第３表!$F$10:$Q$66,MATCH([21]設定!$D31,[21]第３表!$C$10:$C$66,0),4),[21]設定!$I31))</f>
        <v>3.8</v>
      </c>
      <c r="I55" s="54">
        <f>IF($D55="","",IF([21]設定!$I31="",INDEX([21]第３表!$F$10:$Q$66,MATCH([21]設定!$D31,[21]第３表!$C$10:$C$66,0),5),[21]設定!$I31))</f>
        <v>20.399999999999999</v>
      </c>
      <c r="J55" s="54">
        <f>IF($D55="","",IF([21]設定!$I31="",INDEX([21]第３表!$F$10:$Q$66,MATCH([21]設定!$D31,[21]第３表!$C$10:$C$66,0),6),[21]設定!$I31))</f>
        <v>163.4</v>
      </c>
      <c r="K55" s="54">
        <f>IF($D55="","",IF([21]設定!$I31="",INDEX([21]第３表!$F$10:$Q$66,MATCH([21]設定!$D31,[21]第３表!$C$10:$C$66,0),7),[21]設定!$I31))</f>
        <v>158.19999999999999</v>
      </c>
      <c r="L55" s="55">
        <f>IF($D55="","",IF([21]設定!$I31="",INDEX([21]第３表!$F$10:$Q$66,MATCH([21]設定!$D31,[21]第３表!$C$10:$C$66,0),8),[21]設定!$I31))</f>
        <v>5.2</v>
      </c>
      <c r="M55" s="56">
        <f>IF($D55="","",IF([21]設定!$I31="",INDEX([21]第３表!$F$10:$Q$66,MATCH([21]設定!$D31,[21]第３表!$C$10:$C$66,0),9),[21]設定!$I31))</f>
        <v>18.8</v>
      </c>
      <c r="N55" s="56">
        <f>IF($D55="","",IF([21]設定!$I31="",INDEX([21]第３表!$F$10:$Q$66,MATCH([21]設定!$D31,[21]第３表!$C$10:$C$66,0),10),[21]設定!$I31))</f>
        <v>127.5</v>
      </c>
      <c r="O55" s="56">
        <f>IF($D55="","",IF([21]設定!$I31="",INDEX([21]第３表!$F$10:$Q$66,MATCH([21]設定!$D31,[21]第３表!$C$10:$C$66,0),11),[21]設定!$I31))</f>
        <v>126.2</v>
      </c>
      <c r="P55" s="57">
        <f>IF($D55="","",IF([21]設定!$I31="",INDEX([21]第３表!$F$10:$Q$66,MATCH([21]設定!$D31,[21]第３表!$C$10:$C$66,0),12),[21]設定!$I31))</f>
        <v>1.3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IF($D56="","",IF([21]設定!$I32="",INDEX([21]第３表!$F$10:$Q$66,MATCH([21]設定!$D32,[21]第３表!$C$10:$C$66,0),1),[21]設定!$I32))</f>
        <v>18.600000000000001</v>
      </c>
      <c r="F56" s="52">
        <f>IF($D56="","",IF([21]設定!$I32="",INDEX([21]第３表!$F$10:$Q$66,MATCH([21]設定!$D32,[21]第３表!$C$10:$C$66,0),2),[21]設定!$I32))</f>
        <v>156.4</v>
      </c>
      <c r="G56" s="52">
        <f>IF($D56="","",IF([21]設定!$I32="",INDEX([21]第３表!$F$10:$Q$66,MATCH([21]設定!$D32,[21]第３表!$C$10:$C$66,0),3),[21]設定!$I32))</f>
        <v>142</v>
      </c>
      <c r="H56" s="53">
        <f>IF($D56="","",IF([21]設定!$I32="",INDEX([21]第３表!$F$10:$Q$66,MATCH([21]設定!$D32,[21]第３表!$C$10:$C$66,0),4),[21]設定!$I32))</f>
        <v>14.4</v>
      </c>
      <c r="I56" s="54">
        <f>IF($D56="","",IF([21]設定!$I32="",INDEX([21]第３表!$F$10:$Q$66,MATCH([21]設定!$D32,[21]第３表!$C$10:$C$66,0),5),[21]設定!$I32))</f>
        <v>18.399999999999999</v>
      </c>
      <c r="J56" s="54">
        <f>IF($D56="","",IF([21]設定!$I32="",INDEX([21]第３表!$F$10:$Q$66,MATCH([21]設定!$D32,[21]第３表!$C$10:$C$66,0),6),[21]設定!$I32))</f>
        <v>156.19999999999999</v>
      </c>
      <c r="K56" s="54">
        <f>IF($D56="","",IF([21]設定!$I32="",INDEX([21]第３表!$F$10:$Q$66,MATCH([21]設定!$D32,[21]第３表!$C$10:$C$66,0),7),[21]設定!$I32))</f>
        <v>140.80000000000001</v>
      </c>
      <c r="L56" s="55">
        <f>IF($D56="","",IF([21]設定!$I32="",INDEX([21]第３表!$F$10:$Q$66,MATCH([21]設定!$D32,[21]第３表!$C$10:$C$66,0),8),[21]設定!$I32))</f>
        <v>15.4</v>
      </c>
      <c r="M56" s="56">
        <f>IF($D56="","",IF([21]設定!$I32="",INDEX([21]第３表!$F$10:$Q$66,MATCH([21]設定!$D32,[21]第３表!$C$10:$C$66,0),9),[21]設定!$I32))</f>
        <v>19.3</v>
      </c>
      <c r="N56" s="56">
        <f>IF($D56="","",IF([21]設定!$I32="",INDEX([21]第３表!$F$10:$Q$66,MATCH([21]設定!$D32,[21]第３表!$C$10:$C$66,0),10),[21]設定!$I32))</f>
        <v>157</v>
      </c>
      <c r="O56" s="56">
        <f>IF($D56="","",IF([21]設定!$I32="",INDEX([21]第３表!$F$10:$Q$66,MATCH([21]設定!$D32,[21]第３表!$C$10:$C$66,0),11),[21]設定!$I32))</f>
        <v>146.5</v>
      </c>
      <c r="P56" s="57">
        <f>IF($D56="","",IF([21]設定!$I32="",INDEX([21]第３表!$F$10:$Q$66,MATCH([21]設定!$D32,[21]第３表!$C$10:$C$66,0),12),[21]設定!$I32))</f>
        <v>10.5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IF($D57="","",IF([21]設定!$I33="",INDEX([21]第３表!$F$10:$Q$66,MATCH([21]設定!$D33,[21]第３表!$C$10:$C$66,0),1),[21]設定!$I33))</f>
        <v>15.2</v>
      </c>
      <c r="F57" s="52">
        <f>IF($D57="","",IF([21]設定!$I33="",INDEX([21]第３表!$F$10:$Q$66,MATCH([21]設定!$D33,[21]第３表!$C$10:$C$66,0),2),[21]設定!$I33))</f>
        <v>94.9</v>
      </c>
      <c r="G57" s="52">
        <f>IF($D57="","",IF([21]設定!$I33="",INDEX([21]第３表!$F$10:$Q$66,MATCH([21]設定!$D33,[21]第３表!$C$10:$C$66,0),3),[21]設定!$I33))</f>
        <v>89.6</v>
      </c>
      <c r="H57" s="53">
        <f>IF($D57="","",IF([21]設定!$I33="",INDEX([21]第３表!$F$10:$Q$66,MATCH([21]設定!$D33,[21]第３表!$C$10:$C$66,0),4),[21]設定!$I33))</f>
        <v>5.3</v>
      </c>
      <c r="I57" s="54">
        <f>IF($D57="","",IF([21]設定!$I33="",INDEX([21]第３表!$F$10:$Q$66,MATCH([21]設定!$D33,[21]第３表!$C$10:$C$66,0),5),[21]設定!$I33))</f>
        <v>16</v>
      </c>
      <c r="J57" s="54">
        <f>IF($D57="","",IF([21]設定!$I33="",INDEX([21]第３表!$F$10:$Q$66,MATCH([21]設定!$D33,[21]第３表!$C$10:$C$66,0),6),[21]設定!$I33))</f>
        <v>107.9</v>
      </c>
      <c r="K57" s="54">
        <f>IF($D57="","",IF([21]設定!$I33="",INDEX([21]第３表!$F$10:$Q$66,MATCH([21]設定!$D33,[21]第３表!$C$10:$C$66,0),7),[21]設定!$I33))</f>
        <v>99.8</v>
      </c>
      <c r="L57" s="55">
        <f>IF($D57="","",IF([21]設定!$I33="",INDEX([21]第３表!$F$10:$Q$66,MATCH([21]設定!$D33,[21]第３表!$C$10:$C$66,0),8),[21]設定!$I33))</f>
        <v>8.1</v>
      </c>
      <c r="M57" s="56">
        <f>IF($D57="","",IF([21]設定!$I33="",INDEX([21]第３表!$F$10:$Q$66,MATCH([21]設定!$D33,[21]第３表!$C$10:$C$66,0),9),[21]設定!$I33))</f>
        <v>14.7</v>
      </c>
      <c r="N57" s="56">
        <f>IF($D57="","",IF([21]設定!$I33="",INDEX([21]第３表!$F$10:$Q$66,MATCH([21]設定!$D33,[21]第３表!$C$10:$C$66,0),10),[21]設定!$I33))</f>
        <v>87</v>
      </c>
      <c r="O57" s="56">
        <f>IF($D57="","",IF([21]設定!$I33="",INDEX([21]第３表!$F$10:$Q$66,MATCH([21]設定!$D33,[21]第３表!$C$10:$C$66,0),11),[21]設定!$I33))</f>
        <v>83.4</v>
      </c>
      <c r="P57" s="57">
        <f>IF($D57="","",IF([21]設定!$I33="",INDEX([21]第３表!$F$10:$Q$66,MATCH([21]設定!$D33,[21]第３表!$C$10:$C$66,0),12),[21]設定!$I33))</f>
        <v>3.6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f>IF($D58="","",IF([21]設定!$I34="",INDEX([21]第３表!$F$10:$Q$66,MATCH([21]設定!$D34,[21]第３表!$C$10:$C$66,0),1),[21]設定!$I34))</f>
        <v>16.600000000000001</v>
      </c>
      <c r="F58" s="52">
        <f>IF($D58="","",IF([21]設定!$I34="",INDEX([21]第３表!$F$10:$Q$66,MATCH([21]設定!$D34,[21]第３表!$C$10:$C$66,0),2),[21]設定!$I34))</f>
        <v>142.1</v>
      </c>
      <c r="G58" s="52">
        <f>IF($D58="","",IF([21]設定!$I34="",INDEX([21]第３表!$F$10:$Q$66,MATCH([21]設定!$D34,[21]第３表!$C$10:$C$66,0),3),[21]設定!$I34))</f>
        <v>132.4</v>
      </c>
      <c r="H58" s="53">
        <f>IF($D58="","",IF([21]設定!$I34="",INDEX([21]第３表!$F$10:$Q$66,MATCH([21]設定!$D34,[21]第３表!$C$10:$C$66,0),4),[21]設定!$I34))</f>
        <v>9.6999999999999993</v>
      </c>
      <c r="I58" s="54">
        <f>IF($D58="","",IF([21]設定!$I34="",INDEX([21]第３表!$F$10:$Q$66,MATCH([21]設定!$D34,[21]第３表!$C$10:$C$66,0),5),[21]設定!$I34))</f>
        <v>16.7</v>
      </c>
      <c r="J58" s="54">
        <f>IF($D58="","",IF([21]設定!$I34="",INDEX([21]第３表!$F$10:$Q$66,MATCH([21]設定!$D34,[21]第３表!$C$10:$C$66,0),6),[21]設定!$I34))</f>
        <v>146.80000000000001</v>
      </c>
      <c r="K58" s="54">
        <f>IF($D58="","",IF([21]設定!$I34="",INDEX([21]第３表!$F$10:$Q$66,MATCH([21]設定!$D34,[21]第３表!$C$10:$C$66,0),7),[21]設定!$I34))</f>
        <v>135.5</v>
      </c>
      <c r="L58" s="55">
        <f>IF($D58="","",IF([21]設定!$I34="",INDEX([21]第３表!$F$10:$Q$66,MATCH([21]設定!$D34,[21]第３表!$C$10:$C$66,0),8),[21]設定!$I34))</f>
        <v>11.3</v>
      </c>
      <c r="M58" s="56">
        <f>IF($D58="","",IF([21]設定!$I34="",INDEX([21]第３表!$F$10:$Q$66,MATCH([21]設定!$D34,[21]第３表!$C$10:$C$66,0),9),[21]設定!$I34))</f>
        <v>16.5</v>
      </c>
      <c r="N58" s="56">
        <f>IF($D58="","",IF([21]設定!$I34="",INDEX([21]第３表!$F$10:$Q$66,MATCH([21]設定!$D34,[21]第３表!$C$10:$C$66,0),10),[21]設定!$I34))</f>
        <v>134.30000000000001</v>
      </c>
      <c r="O58" s="56">
        <f>IF($D58="","",IF([21]設定!$I34="",INDEX([21]第３表!$F$10:$Q$66,MATCH([21]設定!$D34,[21]第３表!$C$10:$C$66,0),11),[21]設定!$I34))</f>
        <v>127.3</v>
      </c>
      <c r="P58" s="57">
        <f>IF($D58="","",IF([21]設定!$I34="",INDEX([21]第３表!$F$10:$Q$66,MATCH([21]設定!$D34,[21]第３表!$C$10:$C$66,0),12),[21]設定!$I34))</f>
        <v>7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IF($D59="","",IF([21]設定!$I35="",INDEX([21]第３表!$F$10:$Q$66,MATCH([21]設定!$D35,[21]第３表!$C$10:$C$66,0),1),[21]設定!$I35))</f>
        <v>18</v>
      </c>
      <c r="F59" s="52">
        <f>IF($D59="","",IF([21]設定!$I35="",INDEX([21]第３表!$F$10:$Q$66,MATCH([21]設定!$D35,[21]第３表!$C$10:$C$66,0),2),[21]設定!$I35))</f>
        <v>157.6</v>
      </c>
      <c r="G59" s="52">
        <f>IF($D59="","",IF([21]設定!$I35="",INDEX([21]第３表!$F$10:$Q$66,MATCH([21]設定!$D35,[21]第３表!$C$10:$C$66,0),3),[21]設定!$I35))</f>
        <v>132.1</v>
      </c>
      <c r="H59" s="53">
        <f>IF($D59="","",IF([21]設定!$I35="",INDEX([21]第３表!$F$10:$Q$66,MATCH([21]設定!$D35,[21]第３表!$C$10:$C$66,0),4),[21]設定!$I35))</f>
        <v>25.5</v>
      </c>
      <c r="I59" s="54">
        <f>IF($D59="","",IF([21]設定!$I35="",INDEX([21]第３表!$F$10:$Q$66,MATCH([21]設定!$D35,[21]第３表!$C$10:$C$66,0),5),[21]設定!$I35))</f>
        <v>18.2</v>
      </c>
      <c r="J59" s="54">
        <f>IF($D59="","",IF([21]設定!$I35="",INDEX([21]第３表!$F$10:$Q$66,MATCH([21]設定!$D35,[21]第３表!$C$10:$C$66,0),6),[21]設定!$I35))</f>
        <v>166.2</v>
      </c>
      <c r="K59" s="54">
        <f>IF($D59="","",IF([21]設定!$I35="",INDEX([21]第３表!$F$10:$Q$66,MATCH([21]設定!$D35,[21]第３表!$C$10:$C$66,0),7),[21]設定!$I35))</f>
        <v>136.1</v>
      </c>
      <c r="L59" s="55">
        <f>IF($D59="","",IF([21]設定!$I35="",INDEX([21]第３表!$F$10:$Q$66,MATCH([21]設定!$D35,[21]第３表!$C$10:$C$66,0),8),[21]設定!$I35))</f>
        <v>30.1</v>
      </c>
      <c r="M59" s="56">
        <f>IF($D59="","",IF([21]設定!$I35="",INDEX([21]第３表!$F$10:$Q$66,MATCH([21]設定!$D35,[21]第３表!$C$10:$C$66,0),9),[21]設定!$I35))</f>
        <v>17.899999999999999</v>
      </c>
      <c r="N59" s="56">
        <f>IF($D59="","",IF([21]設定!$I35="",INDEX([21]第３表!$F$10:$Q$66,MATCH([21]設定!$D35,[21]第３表!$C$10:$C$66,0),10),[21]設定!$I35))</f>
        <v>149.30000000000001</v>
      </c>
      <c r="O59" s="56">
        <f>IF($D59="","",IF([21]設定!$I35="",INDEX([21]第３表!$F$10:$Q$66,MATCH([21]設定!$D35,[21]第３表!$C$10:$C$66,0),11),[21]設定!$I35))</f>
        <v>128.30000000000001</v>
      </c>
      <c r="P59" s="57">
        <f>IF($D59="","",IF([21]設定!$I35="",INDEX([21]第３表!$F$10:$Q$66,MATCH([21]設定!$D35,[21]第３表!$C$10:$C$66,0),12),[21]設定!$I35))</f>
        <v>21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IF($D60="","",IF([21]設定!$I36="",INDEX([21]第３表!$F$10:$Q$66,MATCH([21]設定!$D36,[21]第３表!$C$10:$C$66,0),1),[21]設定!$I36))</f>
        <v>18.8</v>
      </c>
      <c r="F60" s="52">
        <f>IF($D60="","",IF([21]設定!$I36="",INDEX([21]第３表!$F$10:$Q$66,MATCH([21]設定!$D36,[21]第３表!$C$10:$C$66,0),2),[21]設定!$I36))</f>
        <v>141.9</v>
      </c>
      <c r="G60" s="52">
        <f>IF($D60="","",IF([21]設定!$I36="",INDEX([21]第３表!$F$10:$Q$66,MATCH([21]設定!$D36,[21]第３表!$C$10:$C$66,0),3),[21]設定!$I36))</f>
        <v>138</v>
      </c>
      <c r="H60" s="53">
        <f>IF($D60="","",IF([21]設定!$I36="",INDEX([21]第３表!$F$10:$Q$66,MATCH([21]設定!$D36,[21]第３表!$C$10:$C$66,0),4),[21]設定!$I36))</f>
        <v>3.9</v>
      </c>
      <c r="I60" s="54">
        <f>IF($D60="","",IF([21]設定!$I36="",INDEX([21]第３表!$F$10:$Q$66,MATCH([21]設定!$D36,[21]第３表!$C$10:$C$66,0),5),[21]設定!$I36))</f>
        <v>19</v>
      </c>
      <c r="J60" s="54">
        <f>IF($D60="","",IF([21]設定!$I36="",INDEX([21]第３表!$F$10:$Q$66,MATCH([21]設定!$D36,[21]第３表!$C$10:$C$66,0),6),[21]設定!$I36))</f>
        <v>149.80000000000001</v>
      </c>
      <c r="K60" s="54">
        <f>IF($D60="","",IF([21]設定!$I36="",INDEX([21]第３表!$F$10:$Q$66,MATCH([21]設定!$D36,[21]第３表!$C$10:$C$66,0),7),[21]設定!$I36))</f>
        <v>145</v>
      </c>
      <c r="L60" s="55">
        <f>IF($D60="","",IF([21]設定!$I36="",INDEX([21]第３表!$F$10:$Q$66,MATCH([21]設定!$D36,[21]第３表!$C$10:$C$66,0),8),[21]設定!$I36))</f>
        <v>4.8</v>
      </c>
      <c r="M60" s="56">
        <f>IF($D60="","",IF([21]設定!$I36="",INDEX([21]第３表!$F$10:$Q$66,MATCH([21]設定!$D36,[21]第３表!$C$10:$C$66,0),9),[21]設定!$I36))</f>
        <v>18.8</v>
      </c>
      <c r="N60" s="56">
        <f>IF($D60="","",IF([21]設定!$I36="",INDEX([21]第３表!$F$10:$Q$66,MATCH([21]設定!$D36,[21]第３表!$C$10:$C$66,0),10),[21]設定!$I36))</f>
        <v>139</v>
      </c>
      <c r="O60" s="56">
        <f>IF($D60="","",IF([21]設定!$I36="",INDEX([21]第３表!$F$10:$Q$66,MATCH([21]設定!$D36,[21]第３表!$C$10:$C$66,0),11),[21]設定!$I36))</f>
        <v>135.4</v>
      </c>
      <c r="P60" s="57">
        <f>IF($D60="","",IF([21]設定!$I36="",INDEX([21]第３表!$F$10:$Q$66,MATCH([21]設定!$D36,[21]第３表!$C$10:$C$66,0),12),[21]設定!$I36))</f>
        <v>3.6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IF($D61="","",IF([21]設定!$I37="",INDEX([21]第３表!$F$10:$Q$66,MATCH([21]設定!$D37,[21]第３表!$C$10:$C$66,0),1),[21]設定!$I37))</f>
        <v>20</v>
      </c>
      <c r="F61" s="52">
        <f>IF($D61="","",IF([21]設定!$I37="",INDEX([21]第３表!$F$10:$Q$66,MATCH([21]設定!$D37,[21]第３表!$C$10:$C$66,0),2),[21]設定!$I37))</f>
        <v>157.30000000000001</v>
      </c>
      <c r="G61" s="52">
        <f>IF($D61="","",IF([21]設定!$I37="",INDEX([21]第３表!$F$10:$Q$66,MATCH([21]設定!$D37,[21]第３表!$C$10:$C$66,0),3),[21]設定!$I37))</f>
        <v>153.69999999999999</v>
      </c>
      <c r="H61" s="53">
        <f>IF($D61="","",IF([21]設定!$I37="",INDEX([21]第３表!$F$10:$Q$66,MATCH([21]設定!$D37,[21]第３表!$C$10:$C$66,0),4),[21]設定!$I37))</f>
        <v>3.6</v>
      </c>
      <c r="I61" s="54">
        <f>IF($D61="","",IF([21]設定!$I37="",INDEX([21]第３表!$F$10:$Q$66,MATCH([21]設定!$D37,[21]第３表!$C$10:$C$66,0),5),[21]設定!$I37))</f>
        <v>20.3</v>
      </c>
      <c r="J61" s="54">
        <f>IF($D61="","",IF([21]設定!$I37="",INDEX([21]第３表!$F$10:$Q$66,MATCH([21]設定!$D37,[21]第３表!$C$10:$C$66,0),6),[21]設定!$I37))</f>
        <v>163.19999999999999</v>
      </c>
      <c r="K61" s="54">
        <f>IF($D61="","",IF([21]設定!$I37="",INDEX([21]第３表!$F$10:$Q$66,MATCH([21]設定!$D37,[21]第３表!$C$10:$C$66,0),7),[21]設定!$I37))</f>
        <v>158.80000000000001</v>
      </c>
      <c r="L61" s="55">
        <f>IF($D61="","",IF([21]設定!$I37="",INDEX([21]第３表!$F$10:$Q$66,MATCH([21]設定!$D37,[21]第３表!$C$10:$C$66,0),8),[21]設定!$I37))</f>
        <v>4.4000000000000004</v>
      </c>
      <c r="M61" s="56">
        <f>IF($D61="","",IF([21]設定!$I37="",INDEX([21]第３表!$F$10:$Q$66,MATCH([21]設定!$D37,[21]第３表!$C$10:$C$66,0),9),[21]設定!$I37))</f>
        <v>19.600000000000001</v>
      </c>
      <c r="N61" s="56">
        <f>IF($D61="","",IF([21]設定!$I37="",INDEX([21]第３表!$F$10:$Q$66,MATCH([21]設定!$D37,[21]第３表!$C$10:$C$66,0),10),[21]設定!$I37))</f>
        <v>148.1</v>
      </c>
      <c r="O61" s="56">
        <f>IF($D61="","",IF([21]設定!$I37="",INDEX([21]第３表!$F$10:$Q$66,MATCH([21]設定!$D37,[21]第３表!$C$10:$C$66,0),11),[21]設定!$I37))</f>
        <v>145.69999999999999</v>
      </c>
      <c r="P61" s="57">
        <f>IF($D61="","",IF([21]設定!$I37="",INDEX([21]第３表!$F$10:$Q$66,MATCH([21]設定!$D37,[21]第３表!$C$10:$C$66,0),12),[21]設定!$I37))</f>
        <v>2.4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IF($D62="","",IF([21]設定!$I38="",INDEX([21]第３表!$F$10:$Q$66,MATCH([21]設定!$D38,[21]第３表!$C$10:$C$66,0),1),[21]設定!$I38))</f>
        <v>18.600000000000001</v>
      </c>
      <c r="F62" s="52">
        <f>IF($D62="","",IF([21]設定!$I38="",INDEX([21]第３表!$F$10:$Q$66,MATCH([21]設定!$D38,[21]第３表!$C$10:$C$66,0),2),[21]設定!$I38))</f>
        <v>139.6</v>
      </c>
      <c r="G62" s="52">
        <f>IF($D62="","",IF([21]設定!$I38="",INDEX([21]第３表!$F$10:$Q$66,MATCH([21]設定!$D38,[21]第３表!$C$10:$C$66,0),3),[21]設定!$I38))</f>
        <v>131</v>
      </c>
      <c r="H62" s="53">
        <f>IF($D62="","",IF([21]設定!$I38="",INDEX([21]第３表!$F$10:$Q$66,MATCH([21]設定!$D38,[21]第３表!$C$10:$C$66,0),4),[21]設定!$I38))</f>
        <v>8.6</v>
      </c>
      <c r="I62" s="54">
        <f>IF($D62="","",IF([21]設定!$I38="",INDEX([21]第３表!$F$10:$Q$66,MATCH([21]設定!$D38,[21]第３表!$C$10:$C$66,0),5),[21]設定!$I38))</f>
        <v>19.100000000000001</v>
      </c>
      <c r="J62" s="54">
        <f>IF($D62="","",IF([21]設定!$I38="",INDEX([21]第３表!$F$10:$Q$66,MATCH([21]設定!$D38,[21]第３表!$C$10:$C$66,0),6),[21]設定!$I38))</f>
        <v>154.4</v>
      </c>
      <c r="K62" s="54">
        <f>IF($D62="","",IF([21]設定!$I38="",INDEX([21]第３表!$F$10:$Q$66,MATCH([21]設定!$D38,[21]第３表!$C$10:$C$66,0),7),[21]設定!$I38))</f>
        <v>142.19999999999999</v>
      </c>
      <c r="L62" s="55">
        <f>IF($D62="","",IF([21]設定!$I38="",INDEX([21]第３表!$F$10:$Q$66,MATCH([21]設定!$D38,[21]第３表!$C$10:$C$66,0),8),[21]設定!$I38))</f>
        <v>12.2</v>
      </c>
      <c r="M62" s="56">
        <f>IF($D62="","",IF([21]設定!$I38="",INDEX([21]第３表!$F$10:$Q$66,MATCH([21]設定!$D38,[21]第３表!$C$10:$C$66,0),9),[21]設定!$I38))</f>
        <v>18</v>
      </c>
      <c r="N62" s="56">
        <f>IF($D62="","",IF([21]設定!$I38="",INDEX([21]第３表!$F$10:$Q$66,MATCH([21]設定!$D38,[21]第３表!$C$10:$C$66,0),10),[21]設定!$I38))</f>
        <v>123.3</v>
      </c>
      <c r="O62" s="56">
        <f>IF($D62="","",IF([21]設定!$I38="",INDEX([21]第３表!$F$10:$Q$66,MATCH([21]設定!$D38,[21]第３表!$C$10:$C$66,0),11),[21]設定!$I38))</f>
        <v>118.6</v>
      </c>
      <c r="P62" s="57">
        <f>IF($D62="","",IF([21]設定!$I38="",INDEX([21]第３表!$F$10:$Q$66,MATCH([21]設定!$D38,[21]第３表!$C$10:$C$66,0),12),[21]設定!$I38))</f>
        <v>4.7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IF($D63="","",IF([21]設定!$I39="",INDEX([21]第３表!$F$10:$Q$66,MATCH([21]設定!$D39,[21]第３表!$C$10:$C$66,0),1),[21]設定!$I39))</f>
        <v>20</v>
      </c>
      <c r="F63" s="48">
        <f>IF($D63="","",IF([21]設定!$I39="",INDEX([21]第３表!$F$10:$Q$66,MATCH([21]設定!$D39,[21]第３表!$C$10:$C$66,0),2),[21]設定!$I39))</f>
        <v>160.30000000000001</v>
      </c>
      <c r="G63" s="48">
        <f>IF($D63="","",IF([21]設定!$I39="",INDEX([21]第３表!$F$10:$Q$66,MATCH([21]設定!$D39,[21]第３表!$C$10:$C$66,0),3),[21]設定!$I39))</f>
        <v>148.6</v>
      </c>
      <c r="H63" s="64">
        <f>IF($D63="","",IF([21]設定!$I39="",INDEX([21]第３表!$F$10:$Q$66,MATCH([21]設定!$D39,[21]第３表!$C$10:$C$66,0),4),[21]設定!$I39))</f>
        <v>11.7</v>
      </c>
      <c r="I63" s="48">
        <f>IF($D63="","",IF([21]設定!$I39="",INDEX([21]第３表!$F$10:$Q$66,MATCH([21]設定!$D39,[21]第３表!$C$10:$C$66,0),5),[21]設定!$I39))</f>
        <v>20.5</v>
      </c>
      <c r="J63" s="48">
        <f>IF($D63="","",IF([21]設定!$I39="",INDEX([21]第３表!$F$10:$Q$66,MATCH([21]設定!$D39,[21]第３表!$C$10:$C$66,0),6),[21]設定!$I39))</f>
        <v>172</v>
      </c>
      <c r="K63" s="48">
        <f>IF($D63="","",IF([21]設定!$I39="",INDEX([21]第３表!$F$10:$Q$66,MATCH([21]設定!$D39,[21]第３表!$C$10:$C$66,0),7),[21]設定!$I39))</f>
        <v>155.80000000000001</v>
      </c>
      <c r="L63" s="64">
        <f>IF($D63="","",IF([21]設定!$I39="",INDEX([21]第３表!$F$10:$Q$66,MATCH([21]設定!$D39,[21]第３表!$C$10:$C$66,0),8),[21]設定!$I39))</f>
        <v>16.2</v>
      </c>
      <c r="M63" s="48">
        <f>IF($D63="","",IF([21]設定!$I39="",INDEX([21]第３表!$F$10:$Q$66,MATCH([21]設定!$D39,[21]第３表!$C$10:$C$66,0),9),[21]設定!$I39))</f>
        <v>19.600000000000001</v>
      </c>
      <c r="N63" s="48">
        <f>IF($D63="","",IF([21]設定!$I39="",INDEX([21]第３表!$F$10:$Q$66,MATCH([21]設定!$D39,[21]第３表!$C$10:$C$66,0),10),[21]設定!$I39))</f>
        <v>150</v>
      </c>
      <c r="O63" s="48">
        <f>IF($D63="","",IF([21]設定!$I39="",INDEX([21]第３表!$F$10:$Q$66,MATCH([21]設定!$D39,[21]第３表!$C$10:$C$66,0),11),[21]設定!$I39))</f>
        <v>142.19999999999999</v>
      </c>
      <c r="P63" s="64">
        <f>IF($D63="","",IF([21]設定!$I39="",INDEX([21]第３表!$F$10:$Q$66,MATCH([21]設定!$D39,[21]第３表!$C$10:$C$66,0),12),[21]設定!$I39))</f>
        <v>7.8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IF($D64="","",IF([21]設定!$I40="",INDEX([21]第３表!$F$10:$Q$66,MATCH([21]設定!$D40,[21]第３表!$C$10:$C$66,0),1),[21]設定!$I40))</f>
        <v>19.7</v>
      </c>
      <c r="F64" s="52">
        <f>IF($D64="","",IF([21]設定!$I40="",INDEX([21]第３表!$F$10:$Q$66,MATCH([21]設定!$D40,[21]第３表!$C$10:$C$66,0),2),[21]設定!$I40))</f>
        <v>163.30000000000001</v>
      </c>
      <c r="G64" s="52">
        <f>IF($D64="","",IF([21]設定!$I40="",INDEX([21]第３表!$F$10:$Q$66,MATCH([21]設定!$D40,[21]第３表!$C$10:$C$66,0),3),[21]設定!$I40))</f>
        <v>148.30000000000001</v>
      </c>
      <c r="H64" s="55">
        <f>IF($D64="","",IF([21]設定!$I40="",INDEX([21]第３表!$F$10:$Q$66,MATCH([21]設定!$D40,[21]第３表!$C$10:$C$66,0),4),[21]設定!$I40))</f>
        <v>15</v>
      </c>
      <c r="I64" s="52">
        <f>IF($D64="","",IF([21]設定!$I40="",INDEX([21]第３表!$F$10:$Q$66,MATCH([21]設定!$D40,[21]第３表!$C$10:$C$66,0),5),[21]設定!$I40))</f>
        <v>19.600000000000001</v>
      </c>
      <c r="J64" s="52">
        <f>IF($D64="","",IF([21]設定!$I40="",INDEX([21]第３表!$F$10:$Q$66,MATCH([21]設定!$D40,[21]第３表!$C$10:$C$66,0),6),[21]設定!$I40))</f>
        <v>162.30000000000001</v>
      </c>
      <c r="K64" s="52">
        <f>IF($D64="","",IF([21]設定!$I40="",INDEX([21]第３表!$F$10:$Q$66,MATCH([21]設定!$D40,[21]第３表!$C$10:$C$66,0),7),[21]設定!$I40))</f>
        <v>146.19999999999999</v>
      </c>
      <c r="L64" s="55">
        <f>IF($D64="","",IF([21]設定!$I40="",INDEX([21]第３表!$F$10:$Q$66,MATCH([21]設定!$D40,[21]第３表!$C$10:$C$66,0),8),[21]設定!$I40))</f>
        <v>16.100000000000001</v>
      </c>
      <c r="M64" s="52">
        <f>IF($D64="","",IF([21]設定!$I40="",INDEX([21]第３表!$F$10:$Q$66,MATCH([21]設定!$D40,[21]第３表!$C$10:$C$66,0),9),[21]設定!$I40))</f>
        <v>19.7</v>
      </c>
      <c r="N64" s="52">
        <f>IF($D64="","",IF([21]設定!$I40="",INDEX([21]第３表!$F$10:$Q$66,MATCH([21]設定!$D40,[21]第３表!$C$10:$C$66,0),10),[21]設定!$I40))</f>
        <v>164</v>
      </c>
      <c r="O64" s="52">
        <f>IF($D64="","",IF([21]設定!$I40="",INDEX([21]第３表!$F$10:$Q$66,MATCH([21]設定!$D40,[21]第３表!$C$10:$C$66,0),11),[21]設定!$I40))</f>
        <v>149.80000000000001</v>
      </c>
      <c r="P64" s="55">
        <f>IF($D64="","",IF([21]設定!$I40="",INDEX([21]第３表!$F$10:$Q$66,MATCH([21]設定!$D40,[21]第３表!$C$10:$C$66,0),12),[21]設定!$I40))</f>
        <v>14.2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IF($D65="","",IF([21]設定!$I41="",INDEX([21]第３表!$F$10:$Q$66,MATCH([21]設定!$D41,[21]第３表!$C$10:$C$66,0),1),[21]設定!$I41))</f>
        <v>20.2</v>
      </c>
      <c r="F65" s="52">
        <f>IF($D65="","",IF([21]設定!$I41="",INDEX([21]第３表!$F$10:$Q$66,MATCH([21]設定!$D41,[21]第３表!$C$10:$C$66,0),2),[21]設定!$I41))</f>
        <v>167.7</v>
      </c>
      <c r="G65" s="52">
        <f>IF($D65="","",IF([21]設定!$I41="",INDEX([21]第３表!$F$10:$Q$66,MATCH([21]設定!$D41,[21]第３表!$C$10:$C$66,0),3),[21]設定!$I41))</f>
        <v>151.6</v>
      </c>
      <c r="H65" s="55">
        <f>IF($D65="","",IF([21]設定!$I41="",INDEX([21]第３表!$F$10:$Q$66,MATCH([21]設定!$D41,[21]第３表!$C$10:$C$66,0),4),[21]設定!$I41))</f>
        <v>16.100000000000001</v>
      </c>
      <c r="I65" s="52">
        <f>IF($D65="","",IF([21]設定!$I41="",INDEX([21]第３表!$F$10:$Q$66,MATCH([21]設定!$D41,[21]第３表!$C$10:$C$66,0),5),[21]設定!$I41))</f>
        <v>19.899999999999999</v>
      </c>
      <c r="J65" s="52">
        <f>IF($D65="","",IF([21]設定!$I41="",INDEX([21]第３表!$F$10:$Q$66,MATCH([21]設定!$D41,[21]第３表!$C$10:$C$66,0),6),[21]設定!$I41))</f>
        <v>174.9</v>
      </c>
      <c r="K65" s="52">
        <f>IF($D65="","",IF([21]設定!$I41="",INDEX([21]第３表!$F$10:$Q$66,MATCH([21]設定!$D41,[21]第３表!$C$10:$C$66,0),7),[21]設定!$I41))</f>
        <v>155.80000000000001</v>
      </c>
      <c r="L65" s="55">
        <f>IF($D65="","",IF([21]設定!$I41="",INDEX([21]第３表!$F$10:$Q$66,MATCH([21]設定!$D41,[21]第３表!$C$10:$C$66,0),8),[21]設定!$I41))</f>
        <v>19.100000000000001</v>
      </c>
      <c r="M65" s="52">
        <f>IF($D65="","",IF([21]設定!$I41="",INDEX([21]第３表!$F$10:$Q$66,MATCH([21]設定!$D41,[21]第３表!$C$10:$C$66,0),9),[21]設定!$I41))</f>
        <v>21.1</v>
      </c>
      <c r="N65" s="52">
        <f>IF($D65="","",IF([21]設定!$I41="",INDEX([21]第３表!$F$10:$Q$66,MATCH([21]設定!$D41,[21]第３表!$C$10:$C$66,0),10),[21]設定!$I41))</f>
        <v>140</v>
      </c>
      <c r="O65" s="52">
        <f>IF($D65="","",IF([21]設定!$I41="",INDEX([21]第３表!$F$10:$Q$66,MATCH([21]設定!$D41,[21]第３表!$C$10:$C$66,0),11),[21]設定!$I41))</f>
        <v>135.69999999999999</v>
      </c>
      <c r="P65" s="55">
        <f>IF($D65="","",IF([21]設定!$I41="",INDEX([21]第３表!$F$10:$Q$66,MATCH([21]設定!$D41,[21]第３表!$C$10:$C$66,0),12),[21]設定!$I41))</f>
        <v>4.3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IF($D66="","",IF([21]設定!$I42="",INDEX([21]第３表!$F$10:$Q$66,MATCH([21]設定!$D42,[21]第３表!$C$10:$C$66,0),1),[21]設定!$I42))</f>
        <v>x</v>
      </c>
      <c r="F66" s="52" t="str">
        <f>IF($D66="","",IF([21]設定!$I42="",INDEX([21]第３表!$F$10:$Q$66,MATCH([21]設定!$D42,[21]第３表!$C$10:$C$66,0),2),[21]設定!$I42))</f>
        <v>x</v>
      </c>
      <c r="G66" s="52" t="str">
        <f>IF($D66="","",IF([21]設定!$I42="",INDEX([21]第３表!$F$10:$Q$66,MATCH([21]設定!$D42,[21]第３表!$C$10:$C$66,0),3),[21]設定!$I42))</f>
        <v>x</v>
      </c>
      <c r="H66" s="55" t="str">
        <f>IF($D66="","",IF([21]設定!$I42="",INDEX([21]第３表!$F$10:$Q$66,MATCH([21]設定!$D42,[21]第３表!$C$10:$C$66,0),4),[21]設定!$I42))</f>
        <v>x</v>
      </c>
      <c r="I66" s="52" t="str">
        <f>IF($D66="","",IF([21]設定!$I42="",INDEX([21]第３表!$F$10:$Q$66,MATCH([21]設定!$D42,[21]第３表!$C$10:$C$66,0),5),[21]設定!$I42))</f>
        <v>x</v>
      </c>
      <c r="J66" s="52" t="str">
        <f>IF($D66="","",IF([21]設定!$I42="",INDEX([21]第３表!$F$10:$Q$66,MATCH([21]設定!$D42,[21]第３表!$C$10:$C$66,0),6),[21]設定!$I42))</f>
        <v>x</v>
      </c>
      <c r="K66" s="52" t="str">
        <f>IF($D66="","",IF([21]設定!$I42="",INDEX([21]第３表!$F$10:$Q$66,MATCH([21]設定!$D42,[21]第３表!$C$10:$C$66,0),7),[21]設定!$I42))</f>
        <v>x</v>
      </c>
      <c r="L66" s="55" t="str">
        <f>IF($D66="","",IF([21]設定!$I42="",INDEX([21]第３表!$F$10:$Q$66,MATCH([21]設定!$D42,[21]第３表!$C$10:$C$66,0),8),[21]設定!$I42))</f>
        <v>x</v>
      </c>
      <c r="M66" s="52" t="str">
        <f>IF($D66="","",IF([21]設定!$I42="",INDEX([21]第３表!$F$10:$Q$66,MATCH([21]設定!$D42,[21]第３表!$C$10:$C$66,0),9),[21]設定!$I42))</f>
        <v>x</v>
      </c>
      <c r="N66" s="52" t="str">
        <f>IF($D66="","",IF([21]設定!$I42="",INDEX([21]第３表!$F$10:$Q$66,MATCH([21]設定!$D42,[21]第３表!$C$10:$C$66,0),10),[21]設定!$I42))</f>
        <v>x</v>
      </c>
      <c r="O66" s="52" t="str">
        <f>IF($D66="","",IF([21]設定!$I42="",INDEX([21]第３表!$F$10:$Q$66,MATCH([21]設定!$D42,[21]第３表!$C$10:$C$66,0),11),[21]設定!$I42))</f>
        <v>x</v>
      </c>
      <c r="P66" s="55" t="str">
        <f>IF($D66="","",IF([21]設定!$I42="",INDEX([21]第３表!$F$10:$Q$66,MATCH([21]設定!$D42,[21]第３表!$C$10:$C$66,0),12),[21]設定!$I42))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>
        <f>IF($D67="","",IF([21]設定!$I43="",INDEX([21]第３表!$F$10:$Q$66,MATCH([21]設定!$D43,[21]第３表!$C$10:$C$66,0),1),[21]設定!$I43))</f>
        <v>17.899999999999999</v>
      </c>
      <c r="F67" s="52">
        <f>IF($D67="","",IF([21]設定!$I43="",INDEX([21]第３表!$F$10:$Q$66,MATCH([21]設定!$D43,[21]第３表!$C$10:$C$66,0),2),[21]設定!$I43))</f>
        <v>129.9</v>
      </c>
      <c r="G67" s="52">
        <f>IF($D67="","",IF([21]設定!$I43="",INDEX([21]第３表!$F$10:$Q$66,MATCH([21]設定!$D43,[21]第３表!$C$10:$C$66,0),3),[21]設定!$I43))</f>
        <v>121.2</v>
      </c>
      <c r="H67" s="55">
        <f>IF($D67="","",IF([21]設定!$I43="",INDEX([21]第３表!$F$10:$Q$66,MATCH([21]設定!$D43,[21]第３表!$C$10:$C$66,0),4),[21]設定!$I43))</f>
        <v>8.6999999999999993</v>
      </c>
      <c r="I67" s="52">
        <f>IF($D67="","",IF([21]設定!$I43="",INDEX([21]第３表!$F$10:$Q$66,MATCH([21]設定!$D43,[21]第３表!$C$10:$C$66,0),5),[21]設定!$I43))</f>
        <v>18.2</v>
      </c>
      <c r="J67" s="52">
        <f>IF($D67="","",IF([21]設定!$I43="",INDEX([21]第３表!$F$10:$Q$66,MATCH([21]設定!$D43,[21]第３表!$C$10:$C$66,0),6),[21]設定!$I43))</f>
        <v>134.80000000000001</v>
      </c>
      <c r="K67" s="52">
        <f>IF($D67="","",IF([21]設定!$I43="",INDEX([21]第３表!$F$10:$Q$66,MATCH([21]設定!$D43,[21]第３表!$C$10:$C$66,0),7),[21]設定!$I43))</f>
        <v>124.6</v>
      </c>
      <c r="L67" s="55">
        <f>IF($D67="","",IF([21]設定!$I43="",INDEX([21]第３表!$F$10:$Q$66,MATCH([21]設定!$D43,[21]第３表!$C$10:$C$66,0),8),[21]設定!$I43))</f>
        <v>10.199999999999999</v>
      </c>
      <c r="M67" s="52">
        <f>IF($D67="","",IF([21]設定!$I43="",INDEX([21]第３表!$F$10:$Q$66,MATCH([21]設定!$D43,[21]第３表!$C$10:$C$66,0),9),[21]設定!$I43))</f>
        <v>17.100000000000001</v>
      </c>
      <c r="N67" s="52">
        <f>IF($D67="","",IF([21]設定!$I43="",INDEX([21]第３表!$F$10:$Q$66,MATCH([21]設定!$D43,[21]第３表!$C$10:$C$66,0),10),[21]設定!$I43))</f>
        <v>117.4</v>
      </c>
      <c r="O67" s="52">
        <f>IF($D67="","",IF([21]設定!$I43="",INDEX([21]第３表!$F$10:$Q$66,MATCH([21]設定!$D43,[21]第３表!$C$10:$C$66,0),11),[21]設定!$I43))</f>
        <v>112.6</v>
      </c>
      <c r="P67" s="55">
        <f>IF($D67="","",IF([21]設定!$I43="",INDEX([21]第３表!$F$10:$Q$66,MATCH([21]設定!$D43,[21]第３表!$C$10:$C$66,0),12),[21]設定!$I43))</f>
        <v>4.8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IF($D68="","",IF([21]設定!$I44="",INDEX([21]第３表!$F$10:$Q$66,MATCH([21]設定!$D44,[21]第３表!$C$10:$C$66,0),1),[21]設定!$I44))</f>
        <v>19.8</v>
      </c>
      <c r="F68" s="52">
        <f>IF($D68="","",IF([21]設定!$I44="",INDEX([21]第３表!$F$10:$Q$66,MATCH([21]設定!$D44,[21]第３表!$C$10:$C$66,0),2),[21]設定!$I44))</f>
        <v>160.9</v>
      </c>
      <c r="G68" s="52">
        <f>IF($D68="","",IF([21]設定!$I44="",INDEX([21]第３表!$F$10:$Q$66,MATCH([21]設定!$D44,[21]第３表!$C$10:$C$66,0),3),[21]設定!$I44))</f>
        <v>145.4</v>
      </c>
      <c r="H68" s="55">
        <f>IF($D68="","",IF([21]設定!$I44="",INDEX([21]第３表!$F$10:$Q$66,MATCH([21]設定!$D44,[21]第３表!$C$10:$C$66,0),4),[21]設定!$I44))</f>
        <v>15.5</v>
      </c>
      <c r="I68" s="52">
        <f>IF($D68="","",IF([21]設定!$I44="",INDEX([21]第３表!$F$10:$Q$66,MATCH([21]設定!$D44,[21]第３表!$C$10:$C$66,0),5),[21]設定!$I44))</f>
        <v>19.8</v>
      </c>
      <c r="J68" s="52">
        <f>IF($D68="","",IF([21]設定!$I44="",INDEX([21]第３表!$F$10:$Q$66,MATCH([21]設定!$D44,[21]第３表!$C$10:$C$66,0),6),[21]設定!$I44))</f>
        <v>162.19999999999999</v>
      </c>
      <c r="K68" s="52">
        <f>IF($D68="","",IF([21]設定!$I44="",INDEX([21]第３表!$F$10:$Q$66,MATCH([21]設定!$D44,[21]第３表!$C$10:$C$66,0),7),[21]設定!$I44))</f>
        <v>145.80000000000001</v>
      </c>
      <c r="L68" s="55">
        <f>IF($D68="","",IF([21]設定!$I44="",INDEX([21]第３表!$F$10:$Q$66,MATCH([21]設定!$D44,[21]第３表!$C$10:$C$66,0),8),[21]設定!$I44))</f>
        <v>16.399999999999999</v>
      </c>
      <c r="M68" s="52">
        <f>IF($D68="","",IF([21]設定!$I44="",INDEX([21]第３表!$F$10:$Q$66,MATCH([21]設定!$D44,[21]第３表!$C$10:$C$66,0),9),[21]設定!$I44))</f>
        <v>18.899999999999999</v>
      </c>
      <c r="N68" s="52">
        <f>IF($D68="","",IF([21]設定!$I44="",INDEX([21]第３表!$F$10:$Q$66,MATCH([21]設定!$D44,[21]第３表!$C$10:$C$66,0),10),[21]設定!$I44))</f>
        <v>145.30000000000001</v>
      </c>
      <c r="O68" s="52">
        <f>IF($D68="","",IF([21]設定!$I44="",INDEX([21]第３表!$F$10:$Q$66,MATCH([21]設定!$D44,[21]第３表!$C$10:$C$66,0),11),[21]設定!$I44))</f>
        <v>140.9</v>
      </c>
      <c r="P68" s="55">
        <f>IF($D68="","",IF([21]設定!$I44="",INDEX([21]第３表!$F$10:$Q$66,MATCH([21]設定!$D44,[21]第３表!$C$10:$C$66,0),12),[21]設定!$I44))</f>
        <v>4.4000000000000004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IF($D69="","",IF([21]設定!$I45="",INDEX([21]第３表!$F$10:$Q$66,MATCH([21]設定!$D45,[21]第３表!$C$10:$C$66,0),1),[21]設定!$I45))</f>
        <v>20.3</v>
      </c>
      <c r="F69" s="52">
        <f>IF($D69="","",IF([21]設定!$I45="",INDEX([21]第３表!$F$10:$Q$66,MATCH([21]設定!$D45,[21]第３表!$C$10:$C$66,0),2),[21]設定!$I45))</f>
        <v>154.30000000000001</v>
      </c>
      <c r="G69" s="52">
        <f>IF($D69="","",IF([21]設定!$I45="",INDEX([21]第３表!$F$10:$Q$66,MATCH([21]設定!$D45,[21]第３表!$C$10:$C$66,0),3),[21]設定!$I45))</f>
        <v>143.4</v>
      </c>
      <c r="H69" s="55">
        <f>IF($D69="","",IF([21]設定!$I45="",INDEX([21]第３表!$F$10:$Q$66,MATCH([21]設定!$D45,[21]第３表!$C$10:$C$66,0),4),[21]設定!$I45))</f>
        <v>10.9</v>
      </c>
      <c r="I69" s="52">
        <f>IF($D69="","",IF([21]設定!$I45="",INDEX([21]第３表!$F$10:$Q$66,MATCH([21]設定!$D45,[21]第３表!$C$10:$C$66,0),5),[21]設定!$I45))</f>
        <v>20.2</v>
      </c>
      <c r="J69" s="52">
        <f>IF($D69="","",IF([21]設定!$I45="",INDEX([21]第３表!$F$10:$Q$66,MATCH([21]設定!$D45,[21]第３表!$C$10:$C$66,0),6),[21]設定!$I45))</f>
        <v>161</v>
      </c>
      <c r="K69" s="52">
        <f>IF($D69="","",IF([21]設定!$I45="",INDEX([21]第３表!$F$10:$Q$66,MATCH([21]設定!$D45,[21]第３表!$C$10:$C$66,0),7),[21]設定!$I45))</f>
        <v>146.80000000000001</v>
      </c>
      <c r="L69" s="55">
        <f>IF($D69="","",IF([21]設定!$I45="",INDEX([21]第３表!$F$10:$Q$66,MATCH([21]設定!$D45,[21]第３表!$C$10:$C$66,0),8),[21]設定!$I45))</f>
        <v>14.2</v>
      </c>
      <c r="M69" s="52">
        <f>IF($D69="","",IF([21]設定!$I45="",INDEX([21]第３表!$F$10:$Q$66,MATCH([21]設定!$D45,[21]第３表!$C$10:$C$66,0),9),[21]設定!$I45))</f>
        <v>20.7</v>
      </c>
      <c r="N69" s="52">
        <f>IF($D69="","",IF([21]設定!$I45="",INDEX([21]第３表!$F$10:$Q$66,MATCH([21]設定!$D45,[21]第３表!$C$10:$C$66,0),10),[21]設定!$I45))</f>
        <v>135.5</v>
      </c>
      <c r="O69" s="52">
        <f>IF($D69="","",IF([21]設定!$I45="",INDEX([21]第３表!$F$10:$Q$66,MATCH([21]設定!$D45,[21]第３表!$C$10:$C$66,0),11),[21]設定!$I45))</f>
        <v>133.80000000000001</v>
      </c>
      <c r="P69" s="55">
        <f>IF($D69="","",IF([21]設定!$I45="",INDEX([21]第３表!$F$10:$Q$66,MATCH([21]設定!$D45,[21]第３表!$C$10:$C$66,0),12),[21]設定!$I45))</f>
        <v>1.7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IF($D70="","",IF([21]設定!$I46="",INDEX([21]第３表!$F$10:$Q$66,MATCH([21]設定!$D46,[21]第３表!$C$10:$C$66,0),1),[21]設定!$I46))</f>
        <v>20.3</v>
      </c>
      <c r="F70" s="52">
        <f>IF($D70="","",IF([21]設定!$I46="",INDEX([21]第３表!$F$10:$Q$66,MATCH([21]設定!$D46,[21]第３表!$C$10:$C$66,0),2),[21]設定!$I46))</f>
        <v>170.1</v>
      </c>
      <c r="G70" s="52">
        <f>IF($D70="","",IF([21]設定!$I46="",INDEX([21]第３表!$F$10:$Q$66,MATCH([21]設定!$D46,[21]第３表!$C$10:$C$66,0),3),[21]設定!$I46))</f>
        <v>149.5</v>
      </c>
      <c r="H70" s="55">
        <f>IF($D70="","",IF([21]設定!$I46="",INDEX([21]第３表!$F$10:$Q$66,MATCH([21]設定!$D46,[21]第３表!$C$10:$C$66,0),4),[21]設定!$I46))</f>
        <v>20.6</v>
      </c>
      <c r="I70" s="52">
        <f>IF($D70="","",IF([21]設定!$I46="",INDEX([21]第３表!$F$10:$Q$66,MATCH([21]設定!$D46,[21]第３表!$C$10:$C$66,0),5),[21]設定!$I46))</f>
        <v>20.399999999999999</v>
      </c>
      <c r="J70" s="52">
        <f>IF($D70="","",IF([21]設定!$I46="",INDEX([21]第３表!$F$10:$Q$66,MATCH([21]設定!$D46,[21]第３表!$C$10:$C$66,0),6),[21]設定!$I46))</f>
        <v>171.5</v>
      </c>
      <c r="K70" s="52">
        <f>IF($D70="","",IF([21]設定!$I46="",INDEX([21]第３表!$F$10:$Q$66,MATCH([21]設定!$D46,[21]第３表!$C$10:$C$66,0),7),[21]設定!$I46))</f>
        <v>149.1</v>
      </c>
      <c r="L70" s="55">
        <f>IF($D70="","",IF([21]設定!$I46="",INDEX([21]第３表!$F$10:$Q$66,MATCH([21]設定!$D46,[21]第３表!$C$10:$C$66,0),8),[21]設定!$I46))</f>
        <v>22.4</v>
      </c>
      <c r="M70" s="52">
        <f>IF($D70="","",IF([21]設定!$I46="",INDEX([21]第３表!$F$10:$Q$66,MATCH([21]設定!$D46,[21]第３表!$C$10:$C$66,0),9),[21]設定!$I46))</f>
        <v>19.7</v>
      </c>
      <c r="N70" s="52">
        <f>IF($D70="","",IF([21]設定!$I46="",INDEX([21]第３表!$F$10:$Q$66,MATCH([21]設定!$D46,[21]第３表!$C$10:$C$66,0),10),[21]設定!$I46))</f>
        <v>160.80000000000001</v>
      </c>
      <c r="O70" s="52">
        <f>IF($D70="","",IF([21]設定!$I46="",INDEX([21]第３表!$F$10:$Q$66,MATCH([21]設定!$D46,[21]第３表!$C$10:$C$66,0),11),[21]設定!$I46))</f>
        <v>151.6</v>
      </c>
      <c r="P70" s="55">
        <f>IF($D70="","",IF([21]設定!$I46="",INDEX([21]第３表!$F$10:$Q$66,MATCH([21]設定!$D46,[21]第３表!$C$10:$C$66,0),12),[21]設定!$I46))</f>
        <v>9.1999999999999993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IF($D71="","",IF([21]設定!$I47="",INDEX([21]第３表!$F$10:$Q$66,MATCH([21]設定!$D47,[21]第３表!$C$10:$C$66,0),1),[21]設定!$I47))</f>
        <v>21.2</v>
      </c>
      <c r="F71" s="52">
        <f>IF($D71="","",IF([21]設定!$I47="",INDEX([21]第３表!$F$10:$Q$66,MATCH([21]設定!$D47,[21]第３表!$C$10:$C$66,0),2),[21]設定!$I47))</f>
        <v>173</v>
      </c>
      <c r="G71" s="52">
        <f>IF($D71="","",IF([21]設定!$I47="",INDEX([21]第３表!$F$10:$Q$66,MATCH([21]設定!$D47,[21]第３表!$C$10:$C$66,0),3),[21]設定!$I47))</f>
        <v>158.9</v>
      </c>
      <c r="H71" s="55">
        <f>IF($D71="","",IF([21]設定!$I47="",INDEX([21]第３表!$F$10:$Q$66,MATCH([21]設定!$D47,[21]第３表!$C$10:$C$66,0),4),[21]設定!$I47))</f>
        <v>14.1</v>
      </c>
      <c r="I71" s="52">
        <f>IF($D71="","",IF([21]設定!$I47="",INDEX([21]第３表!$F$10:$Q$66,MATCH([21]設定!$D47,[21]第３表!$C$10:$C$66,0),5),[21]設定!$I47))</f>
        <v>21.6</v>
      </c>
      <c r="J71" s="52">
        <f>IF($D71="","",IF([21]設定!$I47="",INDEX([21]第３表!$F$10:$Q$66,MATCH([21]設定!$D47,[21]第３表!$C$10:$C$66,0),6),[21]設定!$I47))</f>
        <v>182.8</v>
      </c>
      <c r="K71" s="52">
        <f>IF($D71="","",IF([21]設定!$I47="",INDEX([21]第３表!$F$10:$Q$66,MATCH([21]設定!$D47,[21]第３表!$C$10:$C$66,0),7),[21]設定!$I47))</f>
        <v>165.6</v>
      </c>
      <c r="L71" s="55">
        <f>IF($D71="","",IF([21]設定!$I47="",INDEX([21]第３表!$F$10:$Q$66,MATCH([21]設定!$D47,[21]第３表!$C$10:$C$66,0),8),[21]設定!$I47))</f>
        <v>17.2</v>
      </c>
      <c r="M71" s="52">
        <f>IF($D71="","",IF([21]設定!$I47="",INDEX([21]第３表!$F$10:$Q$66,MATCH([21]設定!$D47,[21]第３表!$C$10:$C$66,0),9),[21]設定!$I47))</f>
        <v>20.100000000000001</v>
      </c>
      <c r="N71" s="52">
        <f>IF($D71="","",IF([21]設定!$I47="",INDEX([21]第３表!$F$10:$Q$66,MATCH([21]設定!$D47,[21]第３表!$C$10:$C$66,0),10),[21]設定!$I47))</f>
        <v>138.6</v>
      </c>
      <c r="O71" s="52">
        <f>IF($D71="","",IF([21]設定!$I47="",INDEX([21]第３表!$F$10:$Q$66,MATCH([21]設定!$D47,[21]第３表!$C$10:$C$66,0),11),[21]設定!$I47))</f>
        <v>135.4</v>
      </c>
      <c r="P71" s="55">
        <f>IF($D71="","",IF([21]設定!$I47="",INDEX([21]第３表!$F$10:$Q$66,MATCH([21]設定!$D47,[21]第３表!$C$10:$C$66,0),12),[21]設定!$I47))</f>
        <v>3.2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IF($D72="","",IF([21]設定!$I48="",INDEX([21]第３表!$F$10:$Q$66,MATCH([21]設定!$D48,[21]第３表!$C$10:$C$66,0),1),[21]設定!$I48))</f>
        <v>20.8</v>
      </c>
      <c r="F72" s="55">
        <f>IF($D72="","",IF([21]設定!$I48="",INDEX([21]第３表!$F$10:$Q$66,MATCH([21]設定!$D48,[21]第３表!$C$10:$C$66,0),2),[21]設定!$I48))</f>
        <v>174.7</v>
      </c>
      <c r="G72" s="55">
        <f>IF($D72="","",IF([21]設定!$I48="",INDEX([21]第３表!$F$10:$Q$66,MATCH([21]設定!$D48,[21]第３表!$C$10:$C$66,0),3),[21]設定!$I48))</f>
        <v>161.80000000000001</v>
      </c>
      <c r="H72" s="55">
        <f>IF($D72="","",IF([21]設定!$I48="",INDEX([21]第３表!$F$10:$Q$66,MATCH([21]設定!$D48,[21]第３表!$C$10:$C$66,0),4),[21]設定!$I48))</f>
        <v>12.9</v>
      </c>
      <c r="I72" s="55">
        <f>IF($D72="","",IF([21]設定!$I48="",INDEX([21]第３表!$F$10:$Q$66,MATCH([21]設定!$D48,[21]第３表!$C$10:$C$66,0),5),[21]設定!$I48))</f>
        <v>20.8</v>
      </c>
      <c r="J72" s="55">
        <f>IF($D72="","",IF([21]設定!$I48="",INDEX([21]第３表!$F$10:$Q$66,MATCH([21]設定!$D48,[21]第３表!$C$10:$C$66,0),6),[21]設定!$I48))</f>
        <v>177.4</v>
      </c>
      <c r="K72" s="55">
        <f>IF($D72="","",IF([21]設定!$I48="",INDEX([21]第３表!$F$10:$Q$66,MATCH([21]設定!$D48,[21]第３表!$C$10:$C$66,0),7),[21]設定!$I48))</f>
        <v>162.9</v>
      </c>
      <c r="L72" s="55">
        <f>IF($D72="","",IF([21]設定!$I48="",INDEX([21]第３表!$F$10:$Q$66,MATCH([21]設定!$D48,[21]第３表!$C$10:$C$66,0),8),[21]設定!$I48))</f>
        <v>14.5</v>
      </c>
      <c r="M72" s="55">
        <f>IF($D72="","",IF([21]設定!$I48="",INDEX([21]第３表!$F$10:$Q$66,MATCH([21]設定!$D48,[21]第３表!$C$10:$C$66,0),9),[21]設定!$I48))</f>
        <v>20.8</v>
      </c>
      <c r="N72" s="55">
        <f>IF($D72="","",IF([21]設定!$I48="",INDEX([21]第３表!$F$10:$Q$66,MATCH([21]設定!$D48,[21]第３表!$C$10:$C$66,0),10),[21]設定!$I48))</f>
        <v>166.1</v>
      </c>
      <c r="O72" s="55">
        <f>IF($D72="","",IF([21]設定!$I48="",INDEX([21]第３表!$F$10:$Q$66,MATCH([21]設定!$D48,[21]第３表!$C$10:$C$66,0),11),[21]設定!$I48))</f>
        <v>158.4</v>
      </c>
      <c r="P72" s="55">
        <f>IF($D72="","",IF([21]設定!$I48="",INDEX([21]第３表!$F$10:$Q$66,MATCH([21]設定!$D48,[21]第３表!$C$10:$C$66,0),12),[21]設定!$I48))</f>
        <v>7.7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IF($D73="","",IF([21]設定!$I49="",INDEX([21]第３表!$F$10:$Q$66,MATCH([21]設定!$D49,[21]第３表!$C$10:$C$66,0),1),[21]設定!$I49))</f>
        <v>18.899999999999999</v>
      </c>
      <c r="F73" s="55">
        <f>IF($D73="","",IF([21]設定!$I49="",INDEX([21]第３表!$F$10:$Q$66,MATCH([21]設定!$D49,[21]第３表!$C$10:$C$66,0),2),[21]設定!$I49))</f>
        <v>157.69999999999999</v>
      </c>
      <c r="G73" s="55">
        <f>IF($D73="","",IF([21]設定!$I49="",INDEX([21]第３表!$F$10:$Q$66,MATCH([21]設定!$D49,[21]第３表!$C$10:$C$66,0),3),[21]設定!$I49))</f>
        <v>147.6</v>
      </c>
      <c r="H73" s="55">
        <f>IF($D73="","",IF([21]設定!$I49="",INDEX([21]第３表!$F$10:$Q$66,MATCH([21]設定!$D49,[21]第３表!$C$10:$C$66,0),4),[21]設定!$I49))</f>
        <v>10.1</v>
      </c>
      <c r="I73" s="55">
        <f>IF($D73="","",IF([21]設定!$I49="",INDEX([21]第３表!$F$10:$Q$66,MATCH([21]設定!$D49,[21]第３表!$C$10:$C$66,0),5),[21]設定!$I49))</f>
        <v>19.2</v>
      </c>
      <c r="J73" s="55">
        <f>IF($D73="","",IF([21]設定!$I49="",INDEX([21]第３表!$F$10:$Q$66,MATCH([21]設定!$D49,[21]第３表!$C$10:$C$66,0),6),[21]設定!$I49))</f>
        <v>160.80000000000001</v>
      </c>
      <c r="K73" s="55">
        <f>IF($D73="","",IF([21]設定!$I49="",INDEX([21]第３表!$F$10:$Q$66,MATCH([21]設定!$D49,[21]第３表!$C$10:$C$66,0),7),[21]設定!$I49))</f>
        <v>148.5</v>
      </c>
      <c r="L73" s="55">
        <f>IF($D73="","",IF([21]設定!$I49="",INDEX([21]第３表!$F$10:$Q$66,MATCH([21]設定!$D49,[21]第３表!$C$10:$C$66,0),8),[21]設定!$I49))</f>
        <v>12.3</v>
      </c>
      <c r="M73" s="55">
        <f>IF($D73="","",IF([21]設定!$I49="",INDEX([21]第３表!$F$10:$Q$66,MATCH([21]設定!$D49,[21]第３表!$C$10:$C$66,0),9),[21]設定!$I49))</f>
        <v>18.5</v>
      </c>
      <c r="N73" s="55">
        <f>IF($D73="","",IF([21]設定!$I49="",INDEX([21]第３表!$F$10:$Q$66,MATCH([21]設定!$D49,[21]第３表!$C$10:$C$66,0),10),[21]設定!$I49))</f>
        <v>154.80000000000001</v>
      </c>
      <c r="O73" s="55">
        <f>IF($D73="","",IF([21]設定!$I49="",INDEX([21]第３表!$F$10:$Q$66,MATCH([21]設定!$D49,[21]第３表!$C$10:$C$66,0),11),[21]設定!$I49))</f>
        <v>146.69999999999999</v>
      </c>
      <c r="P73" s="55">
        <f>IF($D73="","",IF([21]設定!$I49="",INDEX([21]第３表!$F$10:$Q$66,MATCH([21]設定!$D49,[21]第３表!$C$10:$C$66,0),12),[21]設定!$I49))</f>
        <v>8.1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IF($D74="","",IF([21]設定!$I50="",INDEX([21]第３表!$F$10:$Q$66,MATCH([21]設定!$D50,[21]第３表!$C$10:$C$66,0),1),[21]設定!$I50))</f>
        <v>18.7</v>
      </c>
      <c r="F74" s="55">
        <f>IF($D74="","",IF([21]設定!$I50="",INDEX([21]第３表!$F$10:$Q$66,MATCH([21]設定!$D50,[21]第３表!$C$10:$C$66,0),2),[21]設定!$I50))</f>
        <v>157.4</v>
      </c>
      <c r="G74" s="55">
        <f>IF($D74="","",IF([21]設定!$I50="",INDEX([21]第３表!$F$10:$Q$66,MATCH([21]設定!$D50,[21]第３表!$C$10:$C$66,0),3),[21]設定!$I50))</f>
        <v>145.5</v>
      </c>
      <c r="H74" s="55">
        <f>IF($D74="","",IF([21]設定!$I50="",INDEX([21]第３表!$F$10:$Q$66,MATCH([21]設定!$D50,[21]第３表!$C$10:$C$66,0),4),[21]設定!$I50))</f>
        <v>11.9</v>
      </c>
      <c r="I74" s="55">
        <f>IF($D74="","",IF([21]設定!$I50="",INDEX([21]第３表!$F$10:$Q$66,MATCH([21]設定!$D50,[21]第３表!$C$10:$C$66,0),5),[21]設定!$I50))</f>
        <v>18.8</v>
      </c>
      <c r="J74" s="55">
        <f>IF($D74="","",IF([21]設定!$I50="",INDEX([21]第３表!$F$10:$Q$66,MATCH([21]設定!$D50,[21]第３表!$C$10:$C$66,0),6),[21]設定!$I50))</f>
        <v>164.5</v>
      </c>
      <c r="K74" s="55">
        <f>IF($D74="","",IF([21]設定!$I50="",INDEX([21]第３表!$F$10:$Q$66,MATCH([21]設定!$D50,[21]第３表!$C$10:$C$66,0),7),[21]設定!$I50))</f>
        <v>149.6</v>
      </c>
      <c r="L74" s="55">
        <f>IF($D74="","",IF([21]設定!$I50="",INDEX([21]第３表!$F$10:$Q$66,MATCH([21]設定!$D50,[21]第３表!$C$10:$C$66,0),8),[21]設定!$I50))</f>
        <v>14.9</v>
      </c>
      <c r="M74" s="55">
        <f>IF($D74="","",IF([21]設定!$I50="",INDEX([21]第３表!$F$10:$Q$66,MATCH([21]設定!$D50,[21]第３表!$C$10:$C$66,0),9),[21]設定!$I50))</f>
        <v>18.399999999999999</v>
      </c>
      <c r="N74" s="55">
        <f>IF($D74="","",IF([21]設定!$I50="",INDEX([21]第３表!$F$10:$Q$66,MATCH([21]設定!$D50,[21]第３表!$C$10:$C$66,0),10),[21]設定!$I50))</f>
        <v>143.69999999999999</v>
      </c>
      <c r="O74" s="55">
        <f>IF($D74="","",IF([21]設定!$I50="",INDEX([21]第３表!$F$10:$Q$66,MATCH([21]設定!$D50,[21]第３表!$C$10:$C$66,0),11),[21]設定!$I50))</f>
        <v>137.5</v>
      </c>
      <c r="P74" s="55">
        <f>IF($D74="","",IF([21]設定!$I50="",INDEX([21]第３表!$F$10:$Q$66,MATCH([21]設定!$D50,[21]第３表!$C$10:$C$66,0),12),[21]設定!$I50))</f>
        <v>6.2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IF($D75="","",IF([21]設定!$I51="",INDEX([21]第３表!$F$10:$Q$66,MATCH([21]設定!$D51,[21]第３表!$C$10:$C$66,0),1),[21]設定!$I51))</f>
        <v>20</v>
      </c>
      <c r="F75" s="55">
        <f>IF($D75="","",IF([21]設定!$I51="",INDEX([21]第３表!$F$10:$Q$66,MATCH([21]設定!$D51,[21]第３表!$C$10:$C$66,0),2),[21]設定!$I51))</f>
        <v>162.69999999999999</v>
      </c>
      <c r="G75" s="55">
        <f>IF($D75="","",IF([21]設定!$I51="",INDEX([21]第３表!$F$10:$Q$66,MATCH([21]設定!$D51,[21]第３表!$C$10:$C$66,0),3),[21]設定!$I51))</f>
        <v>154.69999999999999</v>
      </c>
      <c r="H75" s="55">
        <f>IF($D75="","",IF([21]設定!$I51="",INDEX([21]第３表!$F$10:$Q$66,MATCH([21]設定!$D51,[21]第３表!$C$10:$C$66,0),4),[21]設定!$I51))</f>
        <v>8</v>
      </c>
      <c r="I75" s="55">
        <f>IF($D75="","",IF([21]設定!$I51="",INDEX([21]第３表!$F$10:$Q$66,MATCH([21]設定!$D51,[21]第３表!$C$10:$C$66,0),5),[21]設定!$I51))</f>
        <v>20.399999999999999</v>
      </c>
      <c r="J75" s="55">
        <f>IF($D75="","",IF([21]設定!$I51="",INDEX([21]第３表!$F$10:$Q$66,MATCH([21]設定!$D51,[21]第３表!$C$10:$C$66,0),6),[21]設定!$I51))</f>
        <v>168.6</v>
      </c>
      <c r="K75" s="55">
        <f>IF($D75="","",IF([21]設定!$I51="",INDEX([21]第３表!$F$10:$Q$66,MATCH([21]設定!$D51,[21]第３表!$C$10:$C$66,0),7),[21]設定!$I51))</f>
        <v>158.19999999999999</v>
      </c>
      <c r="L75" s="55">
        <f>IF($D75="","",IF([21]設定!$I51="",INDEX([21]第３表!$F$10:$Q$66,MATCH([21]設定!$D51,[21]第３表!$C$10:$C$66,0),8),[21]設定!$I51))</f>
        <v>10.4</v>
      </c>
      <c r="M75" s="55">
        <f>IF($D75="","",IF([21]設定!$I51="",INDEX([21]第３表!$F$10:$Q$66,MATCH([21]設定!$D51,[21]第３表!$C$10:$C$66,0),9),[21]設定!$I51))</f>
        <v>19.3</v>
      </c>
      <c r="N75" s="55">
        <f>IF($D75="","",IF([21]設定!$I51="",INDEX([21]第３表!$F$10:$Q$66,MATCH([21]設定!$D51,[21]第３表!$C$10:$C$66,0),10),[21]設定!$I51))</f>
        <v>150.69999999999999</v>
      </c>
      <c r="O75" s="55">
        <f>IF($D75="","",IF([21]設定!$I51="",INDEX([21]第３表!$F$10:$Q$66,MATCH([21]設定!$D51,[21]第３表!$C$10:$C$66,0),11),[21]設定!$I51))</f>
        <v>147.5</v>
      </c>
      <c r="P75" s="55">
        <f>IF($D75="","",IF([21]設定!$I51="",INDEX([21]第３表!$F$10:$Q$66,MATCH([21]設定!$D51,[21]第３表!$C$10:$C$66,0),12),[21]設定!$I51))</f>
        <v>3.2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IF($D76="","",IF([21]設定!$I52="",INDEX([21]第３表!$F$10:$Q$66,MATCH([21]設定!$D52,[21]第３表!$C$10:$C$66,0),1),[21]設定!$I52))</f>
        <v>19.7</v>
      </c>
      <c r="F76" s="55">
        <f>IF($D76="","",IF([21]設定!$I52="",INDEX([21]第３表!$F$10:$Q$66,MATCH([21]設定!$D52,[21]第３表!$C$10:$C$66,0),2),[21]設定!$I52))</f>
        <v>186.2</v>
      </c>
      <c r="G76" s="55">
        <f>IF($D76="","",IF([21]設定!$I52="",INDEX([21]第３表!$F$10:$Q$66,MATCH([21]設定!$D52,[21]第３表!$C$10:$C$66,0),3),[21]設定!$I52))</f>
        <v>159.9</v>
      </c>
      <c r="H76" s="55">
        <f>IF($D76="","",IF([21]設定!$I52="",INDEX([21]第３表!$F$10:$Q$66,MATCH([21]設定!$D52,[21]第３表!$C$10:$C$66,0),4),[21]設定!$I52))</f>
        <v>26.3</v>
      </c>
      <c r="I76" s="55">
        <f>IF($D76="","",IF([21]設定!$I52="",INDEX([21]第３表!$F$10:$Q$66,MATCH([21]設定!$D52,[21]第３表!$C$10:$C$66,0),5),[21]設定!$I52))</f>
        <v>19.8</v>
      </c>
      <c r="J76" s="55">
        <f>IF($D76="","",IF([21]設定!$I52="",INDEX([21]第３表!$F$10:$Q$66,MATCH([21]設定!$D52,[21]第３表!$C$10:$C$66,0),6),[21]設定!$I52))</f>
        <v>190.6</v>
      </c>
      <c r="K76" s="55">
        <f>IF($D76="","",IF([21]設定!$I52="",INDEX([21]第３表!$F$10:$Q$66,MATCH([21]設定!$D52,[21]第３表!$C$10:$C$66,0),7),[21]設定!$I52))</f>
        <v>162.5</v>
      </c>
      <c r="L76" s="55">
        <f>IF($D76="","",IF([21]設定!$I52="",INDEX([21]第３表!$F$10:$Q$66,MATCH([21]設定!$D52,[21]第３表!$C$10:$C$66,0),8),[21]設定!$I52))</f>
        <v>28.1</v>
      </c>
      <c r="M76" s="55">
        <f>IF($D76="","",IF([21]設定!$I52="",INDEX([21]第３表!$F$10:$Q$66,MATCH([21]設定!$D52,[21]第３表!$C$10:$C$66,0),9),[21]設定!$I52))</f>
        <v>19.3</v>
      </c>
      <c r="N76" s="55">
        <f>IF($D76="","",IF([21]設定!$I52="",INDEX([21]第３表!$F$10:$Q$66,MATCH([21]設定!$D52,[21]第３表!$C$10:$C$66,0),10),[21]設定!$I52))</f>
        <v>167.4</v>
      </c>
      <c r="O76" s="55">
        <f>IF($D76="","",IF([21]設定!$I52="",INDEX([21]第３表!$F$10:$Q$66,MATCH([21]設定!$D52,[21]第３表!$C$10:$C$66,0),11),[21]設定!$I52))</f>
        <v>148.69999999999999</v>
      </c>
      <c r="P76" s="55">
        <f>IF($D76="","",IF([21]設定!$I52="",INDEX([21]第３表!$F$10:$Q$66,MATCH([21]設定!$D52,[21]第３表!$C$10:$C$66,0),12),[21]設定!$I52))</f>
        <v>18.7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IF($D77="","",IF([21]設定!$I53="",INDEX([21]第３表!$F$10:$Q$66,MATCH([21]設定!$D53,[21]第３表!$C$10:$C$66,0),1),[21]設定!$I53))</f>
        <v>19.399999999999999</v>
      </c>
      <c r="F77" s="69">
        <f>IF($D77="","",IF([21]設定!$I53="",INDEX([21]第３表!$F$10:$Q$66,MATCH([21]設定!$D53,[21]第３表!$C$10:$C$66,0),2),[21]設定!$I53))</f>
        <v>167.4</v>
      </c>
      <c r="G77" s="69">
        <f>IF($D77="","",IF([21]設定!$I53="",INDEX([21]第３表!$F$10:$Q$66,MATCH([21]設定!$D53,[21]第３表!$C$10:$C$66,0),3),[21]設定!$I53))</f>
        <v>154.19999999999999</v>
      </c>
      <c r="H77" s="69">
        <f>IF($D77="","",IF([21]設定!$I53="",INDEX([21]第３表!$F$10:$Q$66,MATCH([21]設定!$D53,[21]第３表!$C$10:$C$66,0),4),[21]設定!$I53))</f>
        <v>13.2</v>
      </c>
      <c r="I77" s="69">
        <f>IF($D77="","",IF([21]設定!$I53="",INDEX([21]第３表!$F$10:$Q$66,MATCH([21]設定!$D53,[21]第３表!$C$10:$C$66,0),5),[21]設定!$I53))</f>
        <v>19.8</v>
      </c>
      <c r="J77" s="69">
        <f>IF($D77="","",IF([21]設定!$I53="",INDEX([21]第３表!$F$10:$Q$66,MATCH([21]設定!$D53,[21]第３表!$C$10:$C$66,0),6),[21]設定!$I53))</f>
        <v>175.6</v>
      </c>
      <c r="K77" s="69">
        <f>IF($D77="","",IF([21]設定!$I53="",INDEX([21]第３表!$F$10:$Q$66,MATCH([21]設定!$D53,[21]第３表!$C$10:$C$66,0),7),[21]設定!$I53))</f>
        <v>158.30000000000001</v>
      </c>
      <c r="L77" s="69">
        <f>IF($D77="","",IF([21]設定!$I53="",INDEX([21]第３表!$F$10:$Q$66,MATCH([21]設定!$D53,[21]第３表!$C$10:$C$66,0),8),[21]設定!$I53))</f>
        <v>17.3</v>
      </c>
      <c r="M77" s="69">
        <f>IF($D77="","",IF([21]設定!$I53="",INDEX([21]第３表!$F$10:$Q$66,MATCH([21]設定!$D53,[21]第３表!$C$10:$C$66,0),9),[21]設定!$I53))</f>
        <v>18.8</v>
      </c>
      <c r="N77" s="69">
        <f>IF($D77="","",IF([21]設定!$I53="",INDEX([21]第３表!$F$10:$Q$66,MATCH([21]設定!$D53,[21]第３表!$C$10:$C$66,0),10),[21]設定!$I53))</f>
        <v>154.30000000000001</v>
      </c>
      <c r="O77" s="69">
        <f>IF($D77="","",IF([21]設定!$I53="",INDEX([21]第３表!$F$10:$Q$66,MATCH([21]設定!$D53,[21]第３表!$C$10:$C$66,0),11),[21]設定!$I53))</f>
        <v>147.69999999999999</v>
      </c>
      <c r="P77" s="69">
        <f>IF($D77="","",IF([21]設定!$I53="",INDEX([21]第３表!$F$10:$Q$66,MATCH([21]設定!$D53,[21]第３表!$C$10:$C$66,0),12),[21]設定!$I53))</f>
        <v>6.6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IF($D78="","",IF([21]設定!$I54="",INDEX([21]第３表!$F$10:$Q$66,MATCH([21]設定!$D54,[21]第３表!$C$10:$C$66,0),1),[21]設定!$I54))</f>
        <v>18.5</v>
      </c>
      <c r="F78" s="73">
        <f>IF($D78="","",IF([21]設定!$I54="",INDEX([21]第３表!$F$10:$Q$66,MATCH([21]設定!$D54,[21]第３表!$C$10:$C$66,0),2),[21]設定!$I54))</f>
        <v>146.19999999999999</v>
      </c>
      <c r="G78" s="73">
        <f>IF($D78="","",IF([21]設定!$I54="",INDEX([21]第３表!$F$10:$Q$66,MATCH([21]設定!$D54,[21]第３表!$C$10:$C$66,0),3),[21]設定!$I54))</f>
        <v>138.1</v>
      </c>
      <c r="H78" s="73">
        <f>IF($D78="","",IF([21]設定!$I54="",INDEX([21]第３表!$F$10:$Q$66,MATCH([21]設定!$D54,[21]第３表!$C$10:$C$66,0),4),[21]設定!$I54))</f>
        <v>8.1</v>
      </c>
      <c r="I78" s="73">
        <f>IF($D78="","",IF([21]設定!$I54="",INDEX([21]第３表!$F$10:$Q$66,MATCH([21]設定!$D54,[21]第３表!$C$10:$C$66,0),5),[21]設定!$I54))</f>
        <v>19</v>
      </c>
      <c r="J78" s="73">
        <f>IF($D78="","",IF([21]設定!$I54="",INDEX([21]第３表!$F$10:$Q$66,MATCH([21]設定!$D54,[21]第３表!$C$10:$C$66,0),6),[21]設定!$I54))</f>
        <v>161.69999999999999</v>
      </c>
      <c r="K78" s="73">
        <f>IF($D78="","",IF([21]設定!$I54="",INDEX([21]第３表!$F$10:$Q$66,MATCH([21]設定!$D54,[21]第３表!$C$10:$C$66,0),7),[21]設定!$I54))</f>
        <v>149</v>
      </c>
      <c r="L78" s="73">
        <f>IF($D78="","",IF([21]設定!$I54="",INDEX([21]第３表!$F$10:$Q$66,MATCH([21]設定!$D54,[21]第３表!$C$10:$C$66,0),8),[21]設定!$I54))</f>
        <v>12.7</v>
      </c>
      <c r="M78" s="73">
        <f>IF($D78="","",IF([21]設定!$I54="",INDEX([21]第３表!$F$10:$Q$66,MATCH([21]設定!$D54,[21]第３表!$C$10:$C$66,0),9),[21]設定!$I54))</f>
        <v>18.100000000000001</v>
      </c>
      <c r="N78" s="73">
        <f>IF($D78="","",IF([21]設定!$I54="",INDEX([21]第３表!$F$10:$Q$66,MATCH([21]設定!$D54,[21]第３表!$C$10:$C$66,0),10),[21]設定!$I54))</f>
        <v>134.30000000000001</v>
      </c>
      <c r="O78" s="73">
        <f>IF($D78="","",IF([21]設定!$I54="",INDEX([21]第３表!$F$10:$Q$66,MATCH([21]設定!$D54,[21]第３表!$C$10:$C$66,0),11),[21]設定!$I54))</f>
        <v>129.80000000000001</v>
      </c>
      <c r="P78" s="73">
        <f>IF($D78="","",IF([21]設定!$I54="",INDEX([21]第３表!$F$10:$Q$66,MATCH([21]設定!$D54,[21]第３表!$C$10:$C$66,0),12),[21]設定!$I54))</f>
        <v>4.5</v>
      </c>
    </row>
  </sheetData>
  <phoneticPr fontId="2"/>
  <printOptions horizontalCentered="1"/>
  <pageMargins left="0.78740157480314965" right="0.78740157480314965" top="0.78740157480314965" bottom="0.59055118110236227" header="0" footer="0.39370078740157483"/>
  <pageSetup paperSize="9" scale="55" orientation="portrait" blackAndWhite="1" cellComments="atEnd" r:id="rId1"/>
  <headerFooter scaleWithDoc="0" alignWithMargins="0">
    <oddFooter>&amp;C- 15 -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9FBB-352C-41EE-AF19-637461084103}">
  <sheetPr>
    <pageSetUpPr fitToPage="1"/>
  </sheetPr>
  <dimension ref="A1:R78"/>
  <sheetViews>
    <sheetView showGridLines="0" tabSelected="1" view="pageBreakPreview" topLeftCell="A16" zoomScale="80" zoomScaleNormal="80" zoomScaleSheetLayoutView="80" workbookViewId="0">
      <selection activeCell="R27" sqref="R27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3.898437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（"&amp;[23]設定!D8&amp;DBCS([23]設定!E8)&amp;"年"&amp;DBCS([23]設定!F8)&amp;"月）"</f>
        <v>　　    （令和５年１２月）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+[24]第５表!B9</f>
        <v>TL</v>
      </c>
      <c r="C9" s="46"/>
      <c r="D9" s="47" t="str">
        <f>+[24]第５表!D9</f>
        <v>調査産業計</v>
      </c>
      <c r="E9" s="48">
        <f>IF($D9="","",IF([23]設定!$H23="",INDEX([23]第３表!$F$80:$Q$136,MATCH([23]設定!$D23,[23]第３表!$C$80:$C$136,0),1),[23]設定!$H23))</f>
        <v>18.2</v>
      </c>
      <c r="F9" s="48">
        <f>IF($D9="","",IF([23]設定!$H23="",INDEX([23]第３表!$F$80:$Q$136,MATCH([23]設定!$D23,[23]第３表!$C$80:$C$136,0),2),[23]設定!$H23))</f>
        <v>140.4</v>
      </c>
      <c r="G9" s="48">
        <f>IF($D9="","",IF([23]設定!$H23="",INDEX([23]第３表!$F$80:$Q$136,MATCH([23]設定!$D23,[23]第３表!$C$80:$C$136,0),3),[23]設定!$H23))</f>
        <v>130.9</v>
      </c>
      <c r="H9" s="48">
        <f>IF($D9="","",IF([23]設定!$H23="",INDEX([23]第３表!$F$80:$Q$136,MATCH([23]設定!$D23,[23]第３表!$C$80:$C$136,0),4),[23]設定!$H23))</f>
        <v>9.5</v>
      </c>
      <c r="I9" s="48">
        <f>IF($D9="","",IF([23]設定!$H23="",INDEX([23]第３表!$F$80:$Q$136,MATCH([23]設定!$D23,[23]第３表!$C$80:$C$136,0),5),[23]設定!$H23))</f>
        <v>19.100000000000001</v>
      </c>
      <c r="J9" s="48">
        <f>IF($D9="","",IF([23]設定!$H23="",INDEX([23]第３表!$F$80:$Q$136,MATCH([23]設定!$D23,[23]第３表!$C$80:$C$136,0),6),[23]設定!$H23))</f>
        <v>156.19999999999999</v>
      </c>
      <c r="K9" s="48">
        <f>IF($D9="","",IF([23]設定!$H23="",INDEX([23]第３表!$F$80:$Q$136,MATCH([23]設定!$D23,[23]第３表!$C$80:$C$136,0),7),[23]設定!$H23))</f>
        <v>142.1</v>
      </c>
      <c r="L9" s="48">
        <f>IF($D9="","",IF([23]設定!$H23="",INDEX([23]第３表!$F$80:$Q$136,MATCH([23]設定!$D23,[23]第３表!$C$80:$C$136,0),8),[23]設定!$H23))</f>
        <v>14.1</v>
      </c>
      <c r="M9" s="48">
        <f>IF($D9="","",IF([23]設定!$H23="",INDEX([23]第３表!$F$80:$Q$136,MATCH([23]設定!$D23,[23]第３表!$C$80:$C$136,0),9),[23]設定!$H23))</f>
        <v>17.5</v>
      </c>
      <c r="N9" s="48">
        <f>IF($D9="","",IF([23]設定!$H23="",INDEX([23]第３表!$F$80:$Q$136,MATCH([23]設定!$D23,[23]第３表!$C$80:$C$136,0),10),[23]設定!$H23))</f>
        <v>125.4</v>
      </c>
      <c r="O9" s="48">
        <f>IF($D9="","",IF([23]設定!$H23="",INDEX([23]第３表!$F$80:$Q$136,MATCH([23]設定!$D23,[23]第３表!$C$80:$C$136,0),11),[23]設定!$H23))</f>
        <v>120.3</v>
      </c>
      <c r="P9" s="48">
        <f>IF($D9="","",IF([23]設定!$H23="",INDEX([23]第３表!$F$80:$Q$136,MATCH([23]設定!$D23,[23]第３表!$C$80:$C$136,0),12),[23]設定!$H23))</f>
        <v>5.0999999999999996</v>
      </c>
    </row>
    <row r="10" spans="1:18" s="8" customFormat="1" ht="17.25" customHeight="1" x14ac:dyDescent="0.45">
      <c r="B10" s="49" t="str">
        <f>+[24]第５表!B10</f>
        <v>D</v>
      </c>
      <c r="C10" s="50"/>
      <c r="D10" s="51" t="str">
        <f>+[24]第５表!D10</f>
        <v>建設業</v>
      </c>
      <c r="E10" s="52">
        <f>IF($D10="","",IF([23]設定!$H24="",INDEX([23]第３表!$F$80:$Q$136,MATCH([23]設定!$D24,[23]第３表!$C$80:$C$136,0),1),[23]設定!$H24))</f>
        <v>20.3</v>
      </c>
      <c r="F10" s="52">
        <f>IF($D10="","",IF([23]設定!$H24="",INDEX([23]第３表!$F$80:$Q$136,MATCH([23]設定!$D24,[23]第３表!$C$80:$C$136,0),2),[23]設定!$H24))</f>
        <v>161.6</v>
      </c>
      <c r="G10" s="52">
        <f>IF($D10="","",IF([23]設定!$H24="",INDEX([23]第３表!$F$80:$Q$136,MATCH([23]設定!$D24,[23]第３表!$C$80:$C$136,0),3),[23]設定!$H24))</f>
        <v>151.69999999999999</v>
      </c>
      <c r="H10" s="53">
        <f>IF($D10="","",IF([23]設定!$H24="",INDEX([23]第３表!$F$80:$Q$136,MATCH([23]設定!$D24,[23]第３表!$C$80:$C$136,0),4),[23]設定!$H24))</f>
        <v>9.9</v>
      </c>
      <c r="I10" s="54">
        <f>IF($D10="","",IF([23]設定!$H24="",INDEX([23]第３表!$F$80:$Q$136,MATCH([23]設定!$D24,[23]第３表!$C$80:$C$136,0),5),[23]設定!$H24))</f>
        <v>20.5</v>
      </c>
      <c r="J10" s="54">
        <f>IF($D10="","",IF([23]設定!$H24="",INDEX([23]第３表!$F$80:$Q$136,MATCH([23]設定!$D24,[23]第３表!$C$80:$C$136,0),6),[23]設定!$H24))</f>
        <v>164.7</v>
      </c>
      <c r="K10" s="54">
        <f>IF($D10="","",IF([23]設定!$H24="",INDEX([23]第３表!$F$80:$Q$136,MATCH([23]設定!$D24,[23]第３表!$C$80:$C$136,0),7),[23]設定!$H24))</f>
        <v>153.69999999999999</v>
      </c>
      <c r="L10" s="55">
        <f>IF($D10="","",IF([23]設定!$H24="",INDEX([23]第３表!$F$80:$Q$136,MATCH([23]設定!$D24,[23]第３表!$C$80:$C$136,0),8),[23]設定!$H24))</f>
        <v>11</v>
      </c>
      <c r="M10" s="56">
        <f>IF($D10="","",IF([23]設定!$H24="",INDEX([23]第３表!$F$80:$Q$136,MATCH([23]設定!$D24,[23]第３表!$C$80:$C$136,0),9),[23]設定!$H24))</f>
        <v>19.5</v>
      </c>
      <c r="N10" s="56">
        <f>IF($D10="","",IF([23]設定!$H24="",INDEX([23]第３表!$F$80:$Q$136,MATCH([23]設定!$D24,[23]第３表!$C$80:$C$136,0),10),[23]設定!$H24))</f>
        <v>143.19999999999999</v>
      </c>
      <c r="O10" s="56">
        <f>IF($D10="","",IF([23]設定!$H24="",INDEX([23]第３表!$F$80:$Q$136,MATCH([23]設定!$D24,[23]第３表!$C$80:$C$136,0),11),[23]設定!$H24))</f>
        <v>140</v>
      </c>
      <c r="P10" s="57">
        <f>IF($D10="","",IF([23]設定!$H24="",INDEX([23]第３表!$F$80:$Q$136,MATCH([23]設定!$D24,[23]第３表!$C$80:$C$136,0),12),[23]設定!$H24))</f>
        <v>3.2</v>
      </c>
    </row>
    <row r="11" spans="1:18" s="8" customFormat="1" ht="17.25" customHeight="1" x14ac:dyDescent="0.45">
      <c r="B11" s="49" t="str">
        <f>+[24]第５表!B11</f>
        <v>E</v>
      </c>
      <c r="C11" s="50"/>
      <c r="D11" s="51" t="str">
        <f>+[24]第５表!D11</f>
        <v>製造業</v>
      </c>
      <c r="E11" s="52">
        <f>IF($D11="","",IF([23]設定!$H25="",INDEX([23]第３表!$F$80:$Q$136,MATCH([23]設定!$D25,[23]第３表!$C$80:$C$136,0),1),[23]設定!$H25))</f>
        <v>19.600000000000001</v>
      </c>
      <c r="F11" s="52">
        <f>IF($D11="","",IF([23]設定!$H25="",INDEX([23]第３表!$F$80:$Q$136,MATCH([23]設定!$D25,[23]第３表!$C$80:$C$136,0),2),[23]設定!$H25))</f>
        <v>159.80000000000001</v>
      </c>
      <c r="G11" s="52">
        <f>IF($D11="","",IF([23]設定!$H25="",INDEX([23]第３表!$F$80:$Q$136,MATCH([23]設定!$D25,[23]第３表!$C$80:$C$136,0),3),[23]設定!$H25))</f>
        <v>146.80000000000001</v>
      </c>
      <c r="H11" s="53">
        <f>IF($D11="","",IF([23]設定!$H25="",INDEX([23]第３表!$F$80:$Q$136,MATCH([23]設定!$D25,[23]第３表!$C$80:$C$136,0),4),[23]設定!$H25))</f>
        <v>13</v>
      </c>
      <c r="I11" s="54">
        <f>IF($D11="","",IF([23]設定!$H25="",INDEX([23]第３表!$F$80:$Q$136,MATCH([23]設定!$D25,[23]第３表!$C$80:$C$136,0),5),[23]設定!$H25))</f>
        <v>20</v>
      </c>
      <c r="J11" s="54">
        <f>IF($D11="","",IF([23]設定!$H25="",INDEX([23]第３表!$F$80:$Q$136,MATCH([23]設定!$D25,[23]第３表!$C$80:$C$136,0),6),[23]設定!$H25))</f>
        <v>170.3</v>
      </c>
      <c r="K11" s="54">
        <f>IF($D11="","",IF([23]設定!$H25="",INDEX([23]第３表!$F$80:$Q$136,MATCH([23]設定!$D25,[23]第３表!$C$80:$C$136,0),7),[23]設定!$H25))</f>
        <v>153.5</v>
      </c>
      <c r="L11" s="55">
        <f>IF($D11="","",IF([23]設定!$H25="",INDEX([23]第３表!$F$80:$Q$136,MATCH([23]設定!$D25,[23]第３表!$C$80:$C$136,0),8),[23]設定!$H25))</f>
        <v>16.8</v>
      </c>
      <c r="M11" s="56">
        <f>IF($D11="","",IF([23]設定!$H25="",INDEX([23]第３表!$F$80:$Q$136,MATCH([23]設定!$D25,[23]第３表!$C$80:$C$136,0),9),[23]設定!$H25))</f>
        <v>19</v>
      </c>
      <c r="N11" s="56">
        <f>IF($D11="","",IF([23]設定!$H25="",INDEX([23]第３表!$F$80:$Q$136,MATCH([23]設定!$D25,[23]第３表!$C$80:$C$136,0),10),[23]設定!$H25))</f>
        <v>145.1</v>
      </c>
      <c r="O11" s="56">
        <f>IF($D11="","",IF([23]設定!$H25="",INDEX([23]第３表!$F$80:$Q$136,MATCH([23]設定!$D25,[23]第３表!$C$80:$C$136,0),11),[23]設定!$H25))</f>
        <v>137.4</v>
      </c>
      <c r="P11" s="57">
        <f>IF($D11="","",IF([23]設定!$H25="",INDEX([23]第３表!$F$80:$Q$136,MATCH([23]設定!$D25,[23]第３表!$C$80:$C$136,0),12),[23]設定!$H25))</f>
        <v>7.7</v>
      </c>
    </row>
    <row r="12" spans="1:18" s="8" customFormat="1" ht="17.25" customHeight="1" x14ac:dyDescent="0.45">
      <c r="B12" s="49" t="str">
        <f>+[24]第５表!B12</f>
        <v>F</v>
      </c>
      <c r="C12" s="50"/>
      <c r="D12" s="58" t="str">
        <f>+[24]第５表!D12</f>
        <v>電気・ガス・熱供給・水道業</v>
      </c>
      <c r="E12" s="52">
        <f>IF($D12="","",IF([23]設定!$H26="",INDEX([23]第３表!$F$80:$Q$136,MATCH([23]設定!$D26,[23]第３表!$C$80:$C$136,0),1),[23]設定!$H26))</f>
        <v>17.7</v>
      </c>
      <c r="F12" s="52">
        <f>IF($D12="","",IF([23]設定!$H26="",INDEX([23]第３表!$F$80:$Q$136,MATCH([23]設定!$D26,[23]第３表!$C$80:$C$136,0),2),[23]設定!$H26))</f>
        <v>150.5</v>
      </c>
      <c r="G12" s="52">
        <f>IF($D12="","",IF([23]設定!$H26="",INDEX([23]第３表!$F$80:$Q$136,MATCH([23]設定!$D26,[23]第３表!$C$80:$C$136,0),3),[23]設定!$H26))</f>
        <v>138.4</v>
      </c>
      <c r="H12" s="53">
        <f>IF($D12="","",IF([23]設定!$H26="",INDEX([23]第３表!$F$80:$Q$136,MATCH([23]設定!$D26,[23]第３表!$C$80:$C$136,0),4),[23]設定!$H26))</f>
        <v>12.1</v>
      </c>
      <c r="I12" s="54">
        <f>IF($D12="","",IF([23]設定!$H26="",INDEX([23]第３表!$F$80:$Q$136,MATCH([23]設定!$D26,[23]第３表!$C$80:$C$136,0),5),[23]設定!$H26))</f>
        <v>17.8</v>
      </c>
      <c r="J12" s="54">
        <f>IF($D12="","",IF([23]設定!$H26="",INDEX([23]第３表!$F$80:$Q$136,MATCH([23]設定!$D26,[23]第３表!$C$80:$C$136,0),6),[23]設定!$H26))</f>
        <v>154.19999999999999</v>
      </c>
      <c r="K12" s="54">
        <f>IF($D12="","",IF([23]設定!$H26="",INDEX([23]第３表!$F$80:$Q$136,MATCH([23]設定!$D26,[23]第３表!$C$80:$C$136,0),7),[23]設定!$H26))</f>
        <v>140.80000000000001</v>
      </c>
      <c r="L12" s="55">
        <f>IF($D12="","",IF([23]設定!$H26="",INDEX([23]第３表!$F$80:$Q$136,MATCH([23]設定!$D26,[23]第３表!$C$80:$C$136,0),8),[23]設定!$H26))</f>
        <v>13.4</v>
      </c>
      <c r="M12" s="56">
        <f>IF($D12="","",IF([23]設定!$H26="",INDEX([23]第３表!$F$80:$Q$136,MATCH([23]設定!$D26,[23]第３表!$C$80:$C$136,0),9),[23]設定!$H26))</f>
        <v>17.3</v>
      </c>
      <c r="N12" s="56">
        <f>IF($D12="","",IF([23]設定!$H26="",INDEX([23]第３表!$F$80:$Q$136,MATCH([23]設定!$D26,[23]第３表!$C$80:$C$136,0),10),[23]設定!$H26))</f>
        <v>125.4</v>
      </c>
      <c r="O12" s="56">
        <f>IF($D12="","",IF([23]設定!$H26="",INDEX([23]第３表!$F$80:$Q$136,MATCH([23]設定!$D26,[23]第３表!$C$80:$C$136,0),11),[23]設定!$H26))</f>
        <v>121.7</v>
      </c>
      <c r="P12" s="57">
        <f>IF($D12="","",IF([23]設定!$H26="",INDEX([23]第３表!$F$80:$Q$136,MATCH([23]設定!$D26,[23]第３表!$C$80:$C$136,0),12),[23]設定!$H26))</f>
        <v>3.7</v>
      </c>
    </row>
    <row r="13" spans="1:18" s="8" customFormat="1" ht="17.25" customHeight="1" x14ac:dyDescent="0.45">
      <c r="B13" s="49" t="str">
        <f>+[24]第５表!B13</f>
        <v>G</v>
      </c>
      <c r="C13" s="50"/>
      <c r="D13" s="51" t="str">
        <f>+[24]第５表!D13</f>
        <v>情報通信業</v>
      </c>
      <c r="E13" s="52">
        <f>IF($D13="","",IF([23]設定!$H27="",INDEX([23]第３表!$F$80:$Q$136,MATCH([23]設定!$D27,[23]第３表!$C$80:$C$136,0),1),[23]設定!$H27))</f>
        <v>19.2</v>
      </c>
      <c r="F13" s="52">
        <f>IF($D13="","",IF([23]設定!$H27="",INDEX([23]第３表!$F$80:$Q$136,MATCH([23]設定!$D27,[23]第３表!$C$80:$C$136,0),2),[23]設定!$H27))</f>
        <v>155.6</v>
      </c>
      <c r="G13" s="52">
        <f>IF($D13="","",IF([23]設定!$H27="",INDEX([23]第３表!$F$80:$Q$136,MATCH([23]設定!$D27,[23]第３表!$C$80:$C$136,0),3),[23]設定!$H27))</f>
        <v>144.6</v>
      </c>
      <c r="H13" s="53">
        <f>IF($D13="","",IF([23]設定!$H27="",INDEX([23]第３表!$F$80:$Q$136,MATCH([23]設定!$D27,[23]第３表!$C$80:$C$136,0),4),[23]設定!$H27))</f>
        <v>11</v>
      </c>
      <c r="I13" s="54">
        <f>IF($D13="","",IF([23]設定!$H27="",INDEX([23]第３表!$F$80:$Q$136,MATCH([23]設定!$D27,[23]第３表!$C$80:$C$136,0),5),[23]設定!$H27))</f>
        <v>19.5</v>
      </c>
      <c r="J13" s="54">
        <f>IF($D13="","",IF([23]設定!$H27="",INDEX([23]第３表!$F$80:$Q$136,MATCH([23]設定!$D27,[23]第３表!$C$80:$C$136,0),6),[23]設定!$H27))</f>
        <v>158.80000000000001</v>
      </c>
      <c r="K13" s="54">
        <f>IF($D13="","",IF([23]設定!$H27="",INDEX([23]第３表!$F$80:$Q$136,MATCH([23]設定!$D27,[23]第３表!$C$80:$C$136,0),7),[23]設定!$H27))</f>
        <v>147.4</v>
      </c>
      <c r="L13" s="55">
        <f>IF($D13="","",IF([23]設定!$H27="",INDEX([23]第３表!$F$80:$Q$136,MATCH([23]設定!$D27,[23]第３表!$C$80:$C$136,0),8),[23]設定!$H27))</f>
        <v>11.4</v>
      </c>
      <c r="M13" s="56">
        <f>IF($D13="","",IF([23]設定!$H27="",INDEX([23]第３表!$F$80:$Q$136,MATCH([23]設定!$D27,[23]第３表!$C$80:$C$136,0),9),[23]設定!$H27))</f>
        <v>18.600000000000001</v>
      </c>
      <c r="N13" s="56">
        <f>IF($D13="","",IF([23]設定!$H27="",INDEX([23]第３表!$F$80:$Q$136,MATCH([23]設定!$D27,[23]第３表!$C$80:$C$136,0),10),[23]設定!$H27))</f>
        <v>148.80000000000001</v>
      </c>
      <c r="O13" s="56">
        <f>IF($D13="","",IF([23]設定!$H27="",INDEX([23]第３表!$F$80:$Q$136,MATCH([23]設定!$D27,[23]第３表!$C$80:$C$136,0),11),[23]設定!$H27))</f>
        <v>138.6</v>
      </c>
      <c r="P13" s="57">
        <f>IF($D13="","",IF([23]設定!$H27="",INDEX([23]第３表!$F$80:$Q$136,MATCH([23]設定!$D27,[23]第３表!$C$80:$C$136,0),12),[23]設定!$H27))</f>
        <v>10.199999999999999</v>
      </c>
    </row>
    <row r="14" spans="1:18" s="8" customFormat="1" ht="17.25" customHeight="1" x14ac:dyDescent="0.45">
      <c r="B14" s="49" t="str">
        <f>+[24]第５表!B14</f>
        <v>H</v>
      </c>
      <c r="C14" s="50"/>
      <c r="D14" s="51" t="str">
        <f>+[24]第５表!D14</f>
        <v>運輸業，郵便業</v>
      </c>
      <c r="E14" s="52">
        <f>IF($D14="","",IF([23]設定!$H28="",INDEX([23]第３表!$F$80:$Q$136,MATCH([23]設定!$D28,[23]第３表!$C$80:$C$136,0),1),[23]設定!$H28))</f>
        <v>21.3</v>
      </c>
      <c r="F14" s="52">
        <f>IF($D14="","",IF([23]設定!$H28="",INDEX([23]第３表!$F$80:$Q$136,MATCH([23]設定!$D28,[23]第３表!$C$80:$C$136,0),2),[23]設定!$H28))</f>
        <v>199.8</v>
      </c>
      <c r="G14" s="52">
        <f>IF($D14="","",IF([23]設定!$H28="",INDEX([23]第３表!$F$80:$Q$136,MATCH([23]設定!$D28,[23]第３表!$C$80:$C$136,0),3),[23]設定!$H28))</f>
        <v>164.9</v>
      </c>
      <c r="H14" s="53">
        <f>IF($D14="","",IF([23]設定!$H28="",INDEX([23]第３表!$F$80:$Q$136,MATCH([23]設定!$D28,[23]第３表!$C$80:$C$136,0),4),[23]設定!$H28))</f>
        <v>34.9</v>
      </c>
      <c r="I14" s="54">
        <f>IF($D14="","",IF([23]設定!$H28="",INDEX([23]第３表!$F$80:$Q$136,MATCH([23]設定!$D28,[23]第３表!$C$80:$C$136,0),5),[23]設定!$H28))</f>
        <v>21.4</v>
      </c>
      <c r="J14" s="54">
        <f>IF($D14="","",IF([23]設定!$H28="",INDEX([23]第３表!$F$80:$Q$136,MATCH([23]設定!$D28,[23]第３表!$C$80:$C$136,0),6),[23]設定!$H28))</f>
        <v>206.1</v>
      </c>
      <c r="K14" s="54">
        <f>IF($D14="","",IF([23]設定!$H28="",INDEX([23]第３表!$F$80:$Q$136,MATCH([23]設定!$D28,[23]第３表!$C$80:$C$136,0),7),[23]設定!$H28))</f>
        <v>167.7</v>
      </c>
      <c r="L14" s="55">
        <f>IF($D14="","",IF([23]設定!$H28="",INDEX([23]第３表!$F$80:$Q$136,MATCH([23]設定!$D28,[23]第３表!$C$80:$C$136,0),8),[23]設定!$H28))</f>
        <v>38.4</v>
      </c>
      <c r="M14" s="56">
        <f>IF($D14="","",IF([23]設定!$H28="",INDEX([23]第３表!$F$80:$Q$136,MATCH([23]設定!$D28,[23]第３表!$C$80:$C$136,0),9),[23]設定!$H28))</f>
        <v>19.8</v>
      </c>
      <c r="N14" s="56">
        <f>IF($D14="","",IF([23]設定!$H28="",INDEX([23]第３表!$F$80:$Q$136,MATCH([23]設定!$D28,[23]第３表!$C$80:$C$136,0),10),[23]設定!$H28))</f>
        <v>149.80000000000001</v>
      </c>
      <c r="O14" s="56">
        <f>IF($D14="","",IF([23]設定!$H28="",INDEX([23]第３表!$F$80:$Q$136,MATCH([23]設定!$D28,[23]第３表!$C$80:$C$136,0),11),[23]設定!$H28))</f>
        <v>143</v>
      </c>
      <c r="P14" s="57">
        <f>IF($D14="","",IF([23]設定!$H28="",INDEX([23]第３表!$F$80:$Q$136,MATCH([23]設定!$D28,[23]第３表!$C$80:$C$136,0),12),[23]設定!$H28))</f>
        <v>6.8</v>
      </c>
    </row>
    <row r="15" spans="1:18" s="8" customFormat="1" ht="17.25" customHeight="1" x14ac:dyDescent="0.45">
      <c r="B15" s="49" t="str">
        <f>+[24]第５表!B15</f>
        <v>I</v>
      </c>
      <c r="C15" s="50"/>
      <c r="D15" s="51" t="str">
        <f>+[24]第５表!D15</f>
        <v>卸売業，小売業</v>
      </c>
      <c r="E15" s="52">
        <f>IF($D15="","",IF([23]設定!$H29="",INDEX([23]第３表!$F$80:$Q$136,MATCH([23]設定!$D29,[23]第３表!$C$80:$C$136,0),1),[23]設定!$H29))</f>
        <v>17.7</v>
      </c>
      <c r="F15" s="52">
        <f>IF($D15="","",IF([23]設定!$H29="",INDEX([23]第３表!$F$80:$Q$136,MATCH([23]設定!$D29,[23]第３表!$C$80:$C$136,0),2),[23]設定!$H29))</f>
        <v>131.5</v>
      </c>
      <c r="G15" s="52">
        <f>IF($D15="","",IF([23]設定!$H29="",INDEX([23]第３表!$F$80:$Q$136,MATCH([23]設定!$D29,[23]第３表!$C$80:$C$136,0),3),[23]設定!$H29))</f>
        <v>123.4</v>
      </c>
      <c r="H15" s="53">
        <f>IF($D15="","",IF([23]設定!$H29="",INDEX([23]第３表!$F$80:$Q$136,MATCH([23]設定!$D29,[23]第３表!$C$80:$C$136,0),4),[23]設定!$H29))</f>
        <v>8.1</v>
      </c>
      <c r="I15" s="54">
        <f>IF($D15="","",IF([23]設定!$H29="",INDEX([23]第３表!$F$80:$Q$136,MATCH([23]設定!$D29,[23]第３表!$C$80:$C$136,0),5),[23]設定!$H29))</f>
        <v>18.7</v>
      </c>
      <c r="J15" s="54">
        <f>IF($D15="","",IF([23]設定!$H29="",INDEX([23]第３表!$F$80:$Q$136,MATCH([23]設定!$D29,[23]第３表!$C$80:$C$136,0),6),[23]設定!$H29))</f>
        <v>151.69999999999999</v>
      </c>
      <c r="K15" s="54">
        <f>IF($D15="","",IF([23]設定!$H29="",INDEX([23]第３表!$F$80:$Q$136,MATCH([23]設定!$D29,[23]第３表!$C$80:$C$136,0),7),[23]設定!$H29))</f>
        <v>139.19999999999999</v>
      </c>
      <c r="L15" s="55">
        <f>IF($D15="","",IF([23]設定!$H29="",INDEX([23]第３表!$F$80:$Q$136,MATCH([23]設定!$D29,[23]第３表!$C$80:$C$136,0),8),[23]設定!$H29))</f>
        <v>12.5</v>
      </c>
      <c r="M15" s="56">
        <f>IF($D15="","",IF([23]設定!$H29="",INDEX([23]第３表!$F$80:$Q$136,MATCH([23]設定!$D29,[23]第３表!$C$80:$C$136,0),9),[23]設定!$H29))</f>
        <v>16.8</v>
      </c>
      <c r="N15" s="56">
        <f>IF($D15="","",IF([23]設定!$H29="",INDEX([23]第３表!$F$80:$Q$136,MATCH([23]設定!$D29,[23]第３表!$C$80:$C$136,0),10),[23]設定!$H29))</f>
        <v>111.7</v>
      </c>
      <c r="O15" s="56">
        <f>IF($D15="","",IF([23]設定!$H29="",INDEX([23]第３表!$F$80:$Q$136,MATCH([23]設定!$D29,[23]第３表!$C$80:$C$136,0),11),[23]設定!$H29))</f>
        <v>107.8</v>
      </c>
      <c r="P15" s="57">
        <f>IF($D15="","",IF([23]設定!$H29="",INDEX([23]第３表!$F$80:$Q$136,MATCH([23]設定!$D29,[23]第３表!$C$80:$C$136,0),12),[23]設定!$H29))</f>
        <v>3.9</v>
      </c>
    </row>
    <row r="16" spans="1:18" s="8" customFormat="1" ht="17.25" customHeight="1" x14ac:dyDescent="0.45">
      <c r="B16" s="49" t="str">
        <f>+[24]第５表!B16</f>
        <v>J</v>
      </c>
      <c r="C16" s="50"/>
      <c r="D16" s="51" t="str">
        <f>+[24]第５表!D16</f>
        <v>金融業，保険業</v>
      </c>
      <c r="E16" s="52">
        <f>IF($D16="","",IF([23]設定!$H30="",INDEX([23]第３表!$F$80:$Q$136,MATCH([23]設定!$D30,[23]第３表!$C$80:$C$136,0),1),[23]設定!$H30))</f>
        <v>18.7</v>
      </c>
      <c r="F16" s="52">
        <f>IF($D16="","",IF([23]設定!$H30="",INDEX([23]第３表!$F$80:$Q$136,MATCH([23]設定!$D30,[23]第３表!$C$80:$C$136,0),2),[23]設定!$H30))</f>
        <v>144.1</v>
      </c>
      <c r="G16" s="52">
        <f>IF($D16="","",IF([23]設定!$H30="",INDEX([23]第３表!$F$80:$Q$136,MATCH([23]設定!$D30,[23]第３表!$C$80:$C$136,0),3),[23]設定!$H30))</f>
        <v>138</v>
      </c>
      <c r="H16" s="53">
        <f>IF($D16="","",IF([23]設定!$H30="",INDEX([23]第３表!$F$80:$Q$136,MATCH([23]設定!$D30,[23]第３表!$C$80:$C$136,0),4),[23]設定!$H30))</f>
        <v>6.1</v>
      </c>
      <c r="I16" s="54">
        <f>IF($D16="","",IF([23]設定!$H30="",INDEX([23]第３表!$F$80:$Q$136,MATCH([23]設定!$D30,[23]第３表!$C$80:$C$136,0),5),[23]設定!$H30))</f>
        <v>19.2</v>
      </c>
      <c r="J16" s="54">
        <f>IF($D16="","",IF([23]設定!$H30="",INDEX([23]第３表!$F$80:$Q$136,MATCH([23]設定!$D30,[23]第３表!$C$80:$C$136,0),6),[23]設定!$H30))</f>
        <v>155.5</v>
      </c>
      <c r="K16" s="54">
        <f>IF($D16="","",IF([23]設定!$H30="",INDEX([23]第３表!$F$80:$Q$136,MATCH([23]設定!$D30,[23]第３表!$C$80:$C$136,0),7),[23]設定!$H30))</f>
        <v>146.6</v>
      </c>
      <c r="L16" s="55">
        <f>IF($D16="","",IF([23]設定!$H30="",INDEX([23]第３表!$F$80:$Q$136,MATCH([23]設定!$D30,[23]第３表!$C$80:$C$136,0),8),[23]設定!$H30))</f>
        <v>8.9</v>
      </c>
      <c r="M16" s="56">
        <f>IF($D16="","",IF([23]設定!$H30="",INDEX([23]第３表!$F$80:$Q$136,MATCH([23]設定!$D30,[23]第３表!$C$80:$C$136,0),9),[23]設定!$H30))</f>
        <v>18.3</v>
      </c>
      <c r="N16" s="56">
        <f>IF($D16="","",IF([23]設定!$H30="",INDEX([23]第３表!$F$80:$Q$136,MATCH([23]設定!$D30,[23]第３表!$C$80:$C$136,0),10),[23]設定!$H30))</f>
        <v>134.30000000000001</v>
      </c>
      <c r="O16" s="56">
        <f>IF($D16="","",IF([23]設定!$H30="",INDEX([23]第３表!$F$80:$Q$136,MATCH([23]設定!$D30,[23]第３表!$C$80:$C$136,0),11),[23]設定!$H30))</f>
        <v>130.6</v>
      </c>
      <c r="P16" s="57">
        <f>IF($D16="","",IF([23]設定!$H30="",INDEX([23]第３表!$F$80:$Q$136,MATCH([23]設定!$D30,[23]第３表!$C$80:$C$136,0),12),[23]設定!$H30))</f>
        <v>3.7</v>
      </c>
    </row>
    <row r="17" spans="2:16" s="8" customFormat="1" ht="17.25" customHeight="1" x14ac:dyDescent="0.45">
      <c r="B17" s="49" t="str">
        <f>+[24]第５表!B17</f>
        <v>K</v>
      </c>
      <c r="C17" s="50"/>
      <c r="D17" s="51" t="str">
        <f>+[24]第５表!D17</f>
        <v>不動産業，物品賃貸業</v>
      </c>
      <c r="E17" s="52">
        <f>IF($D17="","",IF([23]設定!$H31="",INDEX([23]第３表!$F$80:$Q$136,MATCH([23]設定!$D31,[23]第３表!$C$80:$C$136,0),1),[23]設定!$H31))</f>
        <v>17</v>
      </c>
      <c r="F17" s="52">
        <f>IF($D17="","",IF([23]設定!$H31="",INDEX([23]第３表!$F$80:$Q$136,MATCH([23]設定!$D31,[23]第３表!$C$80:$C$136,0),2),[23]設定!$H31))</f>
        <v>116.8</v>
      </c>
      <c r="G17" s="52">
        <f>IF($D17="","",IF([23]設定!$H31="",INDEX([23]第３表!$F$80:$Q$136,MATCH([23]設定!$D31,[23]第３表!$C$80:$C$136,0),3),[23]設定!$H31))</f>
        <v>115.3</v>
      </c>
      <c r="H17" s="52">
        <f>IF($D17="","",IF([23]設定!$H31="",INDEX([23]第３表!$F$80:$Q$136,MATCH([23]設定!$D31,[23]第３表!$C$80:$C$136,0),4),[23]設定!$H31))</f>
        <v>1.5</v>
      </c>
      <c r="I17" s="54">
        <f>IF($D17="","",IF([23]設定!$H31="",INDEX([23]第３表!$F$80:$Q$136,MATCH([23]設定!$D31,[23]第３表!$C$80:$C$136,0),5),[23]設定!$H31))</f>
        <v>17.2</v>
      </c>
      <c r="J17" s="54">
        <f>IF($D17="","",IF([23]設定!$H31="",INDEX([23]第３表!$F$80:$Q$136,MATCH([23]設定!$D31,[23]第３表!$C$80:$C$136,0),6),[23]設定!$H31))</f>
        <v>125</v>
      </c>
      <c r="K17" s="54">
        <f>IF($D17="","",IF([23]設定!$H31="",INDEX([23]第３表!$F$80:$Q$136,MATCH([23]設定!$D31,[23]第３表!$C$80:$C$136,0),7),[23]設定!$H31))</f>
        <v>122.6</v>
      </c>
      <c r="L17" s="55">
        <f>IF($D17="","",IF([23]設定!$H31="",INDEX([23]第３表!$F$80:$Q$136,MATCH([23]設定!$D31,[23]第３表!$C$80:$C$136,0),8),[23]設定!$H31))</f>
        <v>2.4</v>
      </c>
      <c r="M17" s="56">
        <f>IF($D17="","",IF([23]設定!$H31="",INDEX([23]第３表!$F$80:$Q$136,MATCH([23]設定!$D31,[23]第３表!$C$80:$C$136,0),9),[23]設定!$H31))</f>
        <v>16.7</v>
      </c>
      <c r="N17" s="56">
        <f>IF($D17="","",IF([23]設定!$H31="",INDEX([23]第３表!$F$80:$Q$136,MATCH([23]設定!$D31,[23]第３表!$C$80:$C$136,0),10),[23]設定!$H31))</f>
        <v>107.4</v>
      </c>
      <c r="O17" s="56">
        <f>IF($D17="","",IF([23]設定!$H31="",INDEX([23]第３表!$F$80:$Q$136,MATCH([23]設定!$D31,[23]第３表!$C$80:$C$136,0),11),[23]設定!$H31))</f>
        <v>106.9</v>
      </c>
      <c r="P17" s="57">
        <f>IF($D17="","",IF([23]設定!$H31="",INDEX([23]第３表!$F$80:$Q$136,MATCH([23]設定!$D31,[23]第３表!$C$80:$C$136,0),12),[23]設定!$H31))</f>
        <v>0.5</v>
      </c>
    </row>
    <row r="18" spans="2:16" s="8" customFormat="1" ht="17.25" customHeight="1" x14ac:dyDescent="0.45">
      <c r="B18" s="49" t="str">
        <f>+[24]第５表!B18</f>
        <v>L</v>
      </c>
      <c r="C18" s="50"/>
      <c r="D18" s="59" t="str">
        <f>+[24]第５表!D18</f>
        <v>学術研究，専門・技術サービス業</v>
      </c>
      <c r="E18" s="52">
        <f>IF($D18="","",IF([23]設定!$H32="",INDEX([23]第３表!$F$80:$Q$136,MATCH([23]設定!$D32,[23]第３表!$C$80:$C$136,0),1),[23]設定!$H32))</f>
        <v>19.2</v>
      </c>
      <c r="F18" s="52">
        <f>IF($D18="","",IF([23]設定!$H32="",INDEX([23]第３表!$F$80:$Q$136,MATCH([23]設定!$D32,[23]第３表!$C$80:$C$136,0),2),[23]設定!$H32))</f>
        <v>148.19999999999999</v>
      </c>
      <c r="G18" s="52">
        <f>IF($D18="","",IF([23]設定!$H32="",INDEX([23]第３表!$F$80:$Q$136,MATCH([23]設定!$D32,[23]第３表!$C$80:$C$136,0),3),[23]設定!$H32))</f>
        <v>139.30000000000001</v>
      </c>
      <c r="H18" s="53">
        <f>IF($D18="","",IF([23]設定!$H32="",INDEX([23]第３表!$F$80:$Q$136,MATCH([23]設定!$D32,[23]第３表!$C$80:$C$136,0),4),[23]設定!$H32))</f>
        <v>8.9</v>
      </c>
      <c r="I18" s="54">
        <f>IF($D18="","",IF([23]設定!$H32="",INDEX([23]第３表!$F$80:$Q$136,MATCH([23]設定!$D32,[23]第３表!$C$80:$C$136,0),5),[23]設定!$H32))</f>
        <v>19.2</v>
      </c>
      <c r="J18" s="54">
        <f>IF($D18="","",IF([23]設定!$H32="",INDEX([23]第３表!$F$80:$Q$136,MATCH([23]設定!$D32,[23]第３表!$C$80:$C$136,0),6),[23]設定!$H32))</f>
        <v>158</v>
      </c>
      <c r="K18" s="54">
        <f>IF($D18="","",IF([23]設定!$H32="",INDEX([23]第３表!$F$80:$Q$136,MATCH([23]設定!$D32,[23]第３表!$C$80:$C$136,0),7),[23]設定!$H32))</f>
        <v>148.6</v>
      </c>
      <c r="L18" s="55">
        <f>IF($D18="","",IF([23]設定!$H32="",INDEX([23]第３表!$F$80:$Q$136,MATCH([23]設定!$D32,[23]第３表!$C$80:$C$136,0),8),[23]設定!$H32))</f>
        <v>9.4</v>
      </c>
      <c r="M18" s="56">
        <f>IF($D18="","",IF([23]設定!$H32="",INDEX([23]第３表!$F$80:$Q$136,MATCH([23]設定!$D32,[23]第３表!$C$80:$C$136,0),9),[23]設定!$H32))</f>
        <v>19.100000000000001</v>
      </c>
      <c r="N18" s="56">
        <f>IF($D18="","",IF([23]設定!$H32="",INDEX([23]第３表!$F$80:$Q$136,MATCH([23]設定!$D32,[23]第３表!$C$80:$C$136,0),10),[23]設定!$H32))</f>
        <v>132.1</v>
      </c>
      <c r="O18" s="56">
        <f>IF($D18="","",IF([23]設定!$H32="",INDEX([23]第３表!$F$80:$Q$136,MATCH([23]設定!$D32,[23]第３表!$C$80:$C$136,0),11),[23]設定!$H32))</f>
        <v>124</v>
      </c>
      <c r="P18" s="57">
        <f>IF($D18="","",IF([23]設定!$H32="",INDEX([23]第３表!$F$80:$Q$136,MATCH([23]設定!$D32,[23]第３表!$C$80:$C$136,0),12),[23]設定!$H32))</f>
        <v>8.1</v>
      </c>
    </row>
    <row r="19" spans="2:16" s="8" customFormat="1" ht="17.25" customHeight="1" x14ac:dyDescent="0.45">
      <c r="B19" s="49" t="str">
        <f>+[24]第５表!B19</f>
        <v>M</v>
      </c>
      <c r="C19" s="50"/>
      <c r="D19" s="60" t="str">
        <f>+[24]第５表!D19</f>
        <v>宿泊業，飲食サービス業</v>
      </c>
      <c r="E19" s="52">
        <f>IF($D19="","",IF([23]設定!$H33="",INDEX([23]第３表!$F$80:$Q$136,MATCH([23]設定!$D33,[23]第３表!$C$80:$C$136,0),1),[23]設定!$H33))</f>
        <v>13.9</v>
      </c>
      <c r="F19" s="52">
        <f>IF($D19="","",IF([23]設定!$H33="",INDEX([23]第３表!$F$80:$Q$136,MATCH([23]設定!$D33,[23]第３表!$C$80:$C$136,0),2),[23]設定!$H33))</f>
        <v>77.2</v>
      </c>
      <c r="G19" s="52">
        <f>IF($D19="","",IF([23]設定!$H33="",INDEX([23]第３表!$F$80:$Q$136,MATCH([23]設定!$D33,[23]第３表!$C$80:$C$136,0),3),[23]設定!$H33))</f>
        <v>74.2</v>
      </c>
      <c r="H19" s="53">
        <f>IF($D19="","",IF([23]設定!$H33="",INDEX([23]第３表!$F$80:$Q$136,MATCH([23]設定!$D33,[23]第３表!$C$80:$C$136,0),4),[23]設定!$H33))</f>
        <v>3</v>
      </c>
      <c r="I19" s="54">
        <f>IF($D19="","",IF([23]設定!$H33="",INDEX([23]第３表!$F$80:$Q$136,MATCH([23]設定!$D33,[23]第３表!$C$80:$C$136,0),5),[23]設定!$H33))</f>
        <v>15.1</v>
      </c>
      <c r="J19" s="54">
        <f>IF($D19="","",IF([23]設定!$H33="",INDEX([23]第３表!$F$80:$Q$136,MATCH([23]設定!$D33,[23]第３表!$C$80:$C$136,0),6),[23]設定!$H33))</f>
        <v>92</v>
      </c>
      <c r="K19" s="54">
        <f>IF($D19="","",IF([23]設定!$H33="",INDEX([23]第３表!$F$80:$Q$136,MATCH([23]設定!$D33,[23]第３表!$C$80:$C$136,0),7),[23]設定!$H33))</f>
        <v>85.4</v>
      </c>
      <c r="L19" s="55">
        <f>IF($D19="","",IF([23]設定!$H33="",INDEX([23]第３表!$F$80:$Q$136,MATCH([23]設定!$D33,[23]第３表!$C$80:$C$136,0),8),[23]設定!$H33))</f>
        <v>6.6</v>
      </c>
      <c r="M19" s="56">
        <f>IF($D19="","",IF([23]設定!$H33="",INDEX([23]第３表!$F$80:$Q$136,MATCH([23]設定!$D33,[23]第３表!$C$80:$C$136,0),9),[23]設定!$H33))</f>
        <v>13.3</v>
      </c>
      <c r="N19" s="56">
        <f>IF($D19="","",IF([23]設定!$H33="",INDEX([23]第３表!$F$80:$Q$136,MATCH([23]設定!$D33,[23]第３表!$C$80:$C$136,0),10),[23]設定!$H33))</f>
        <v>69.8</v>
      </c>
      <c r="O19" s="56">
        <f>IF($D19="","",IF([23]設定!$H33="",INDEX([23]第３表!$F$80:$Q$136,MATCH([23]設定!$D33,[23]第３表!$C$80:$C$136,0),11),[23]設定!$H33))</f>
        <v>68.599999999999994</v>
      </c>
      <c r="P19" s="57">
        <f>IF($D19="","",IF([23]設定!$H33="",INDEX([23]第３表!$F$80:$Q$136,MATCH([23]設定!$D33,[23]第３表!$C$80:$C$136,0),12),[23]設定!$H33))</f>
        <v>1.2</v>
      </c>
    </row>
    <row r="20" spans="2:16" s="8" customFormat="1" ht="17.25" customHeight="1" x14ac:dyDescent="0.45">
      <c r="B20" s="49" t="str">
        <f>+[24]第５表!B20</f>
        <v>N</v>
      </c>
      <c r="C20" s="50"/>
      <c r="D20" s="61" t="str">
        <f>+[24]第５表!D20</f>
        <v>生活関連サービス業，娯楽業</v>
      </c>
      <c r="E20" s="52">
        <f>IF($D20="","",IF([23]設定!$H34="",INDEX([23]第３表!$F$80:$Q$136,MATCH([23]設定!$D34,[23]第３表!$C$80:$C$136,0),1),[23]設定!$H34))</f>
        <v>15.9</v>
      </c>
      <c r="F20" s="52">
        <f>IF($D20="","",IF([23]設定!$H34="",INDEX([23]第３表!$F$80:$Q$136,MATCH([23]設定!$D34,[23]第３表!$C$80:$C$136,0),2),[23]設定!$H34))</f>
        <v>120.9</v>
      </c>
      <c r="G20" s="52">
        <f>IF($D20="","",IF([23]設定!$H34="",INDEX([23]第３表!$F$80:$Q$136,MATCH([23]設定!$D34,[23]第３表!$C$80:$C$136,0),3),[23]設定!$H34))</f>
        <v>114.3</v>
      </c>
      <c r="H20" s="53">
        <f>IF($D20="","",IF([23]設定!$H34="",INDEX([23]第３表!$F$80:$Q$136,MATCH([23]設定!$D34,[23]第３表!$C$80:$C$136,0),4),[23]設定!$H34))</f>
        <v>6.6</v>
      </c>
      <c r="I20" s="54">
        <f>IF($D20="","",IF([23]設定!$H34="",INDEX([23]第３表!$F$80:$Q$136,MATCH([23]設定!$D34,[23]第３表!$C$80:$C$136,0),5),[23]設定!$H34))</f>
        <v>15.9</v>
      </c>
      <c r="J20" s="54">
        <f>IF($D20="","",IF([23]設定!$H34="",INDEX([23]第３表!$F$80:$Q$136,MATCH([23]設定!$D34,[23]第３表!$C$80:$C$136,0),6),[23]設定!$H34))</f>
        <v>121.6</v>
      </c>
      <c r="K20" s="54">
        <f>IF($D20="","",IF([23]設定!$H34="",INDEX([23]第３表!$F$80:$Q$136,MATCH([23]設定!$D34,[23]第３表!$C$80:$C$136,0),7),[23]設定!$H34))</f>
        <v>115.1</v>
      </c>
      <c r="L20" s="55">
        <f>IF($D20="","",IF([23]設定!$H34="",INDEX([23]第３表!$F$80:$Q$136,MATCH([23]設定!$D34,[23]第３表!$C$80:$C$136,0),8),[23]設定!$H34))</f>
        <v>6.5</v>
      </c>
      <c r="M20" s="56">
        <f>IF($D20="","",IF([23]設定!$H34="",INDEX([23]第３表!$F$80:$Q$136,MATCH([23]設定!$D34,[23]第３表!$C$80:$C$136,0),9),[23]設定!$H34))</f>
        <v>16</v>
      </c>
      <c r="N20" s="56">
        <f>IF($D20="","",IF([23]設定!$H34="",INDEX([23]第３表!$F$80:$Q$136,MATCH([23]設定!$D34,[23]第３表!$C$80:$C$136,0),10),[23]設定!$H34))</f>
        <v>119.6</v>
      </c>
      <c r="O20" s="56">
        <f>IF($D20="","",IF([23]設定!$H34="",INDEX([23]第３表!$F$80:$Q$136,MATCH([23]設定!$D34,[23]第３表!$C$80:$C$136,0),11),[23]設定!$H34))</f>
        <v>112.9</v>
      </c>
      <c r="P20" s="57">
        <f>IF($D20="","",IF([23]設定!$H34="",INDEX([23]第３表!$F$80:$Q$136,MATCH([23]設定!$D34,[23]第３表!$C$80:$C$136,0),12),[23]設定!$H34))</f>
        <v>6.7</v>
      </c>
    </row>
    <row r="21" spans="2:16" s="8" customFormat="1" ht="17.25" customHeight="1" x14ac:dyDescent="0.45">
      <c r="B21" s="49" t="str">
        <f>+[24]第５表!B21</f>
        <v>O</v>
      </c>
      <c r="C21" s="50"/>
      <c r="D21" s="51" t="str">
        <f>+[24]第５表!D21</f>
        <v>教育，学習支援業</v>
      </c>
      <c r="E21" s="52">
        <f>IF($D21="","",IF([23]設定!$H35="",INDEX([23]第３表!$F$80:$Q$136,MATCH([23]設定!$D35,[23]第３表!$C$80:$C$136,0),1),[23]設定!$H35))</f>
        <v>16.7</v>
      </c>
      <c r="F21" s="52">
        <f>IF($D21="","",IF([23]設定!$H35="",INDEX([23]第３表!$F$80:$Q$136,MATCH([23]設定!$D35,[23]第３表!$C$80:$C$136,0),2),[23]設定!$H35))</f>
        <v>138.19999999999999</v>
      </c>
      <c r="G21" s="52">
        <f>IF($D21="","",IF([23]設定!$H35="",INDEX([23]第３表!$F$80:$Q$136,MATCH([23]設定!$D35,[23]第３表!$C$80:$C$136,0),3),[23]設定!$H35))</f>
        <v>120.4</v>
      </c>
      <c r="H21" s="53">
        <f>IF($D21="","",IF([23]設定!$H35="",INDEX([23]第３表!$F$80:$Q$136,MATCH([23]設定!$D35,[23]第３表!$C$80:$C$136,0),4),[23]設定!$H35))</f>
        <v>17.8</v>
      </c>
      <c r="I21" s="54">
        <f>IF($D21="","",IF([23]設定!$H35="",INDEX([23]第３表!$F$80:$Q$136,MATCH([23]設定!$D35,[23]第３表!$C$80:$C$136,0),5),[23]設定!$H35))</f>
        <v>17.3</v>
      </c>
      <c r="J21" s="54">
        <f>IF($D21="","",IF([23]設定!$H35="",INDEX([23]第３表!$F$80:$Q$136,MATCH([23]設定!$D35,[23]第３表!$C$80:$C$136,0),6),[23]設定!$H35))</f>
        <v>148.9</v>
      </c>
      <c r="K21" s="54">
        <f>IF($D21="","",IF([23]設定!$H35="",INDEX([23]第３表!$F$80:$Q$136,MATCH([23]設定!$D35,[23]第３表!$C$80:$C$136,0),7),[23]設定!$H35))</f>
        <v>125</v>
      </c>
      <c r="L21" s="55">
        <f>IF($D21="","",IF([23]設定!$H35="",INDEX([23]第３表!$F$80:$Q$136,MATCH([23]設定!$D35,[23]第３表!$C$80:$C$136,0),8),[23]設定!$H35))</f>
        <v>23.9</v>
      </c>
      <c r="M21" s="56">
        <f>IF($D21="","",IF([23]設定!$H35="",INDEX([23]第３表!$F$80:$Q$136,MATCH([23]設定!$D35,[23]第３表!$C$80:$C$136,0),9),[23]設定!$H35))</f>
        <v>16.3</v>
      </c>
      <c r="N21" s="56">
        <f>IF($D21="","",IF([23]設定!$H35="",INDEX([23]第３表!$F$80:$Q$136,MATCH([23]設定!$D35,[23]第３表!$C$80:$C$136,0),10),[23]設定!$H35))</f>
        <v>129.6</v>
      </c>
      <c r="O21" s="56">
        <f>IF($D21="","",IF([23]設定!$H35="",INDEX([23]第３表!$F$80:$Q$136,MATCH([23]設定!$D35,[23]第３表!$C$80:$C$136,0),11),[23]設定!$H35))</f>
        <v>116.7</v>
      </c>
      <c r="P21" s="57">
        <f>IF($D21="","",IF([23]設定!$H35="",INDEX([23]第３表!$F$80:$Q$136,MATCH([23]設定!$D35,[23]第３表!$C$80:$C$136,0),12),[23]設定!$H35))</f>
        <v>12.9</v>
      </c>
    </row>
    <row r="22" spans="2:16" s="8" customFormat="1" ht="17.25" customHeight="1" x14ac:dyDescent="0.45">
      <c r="B22" s="49" t="str">
        <f>+[24]第５表!B22</f>
        <v>P</v>
      </c>
      <c r="C22" s="50"/>
      <c r="D22" s="51" t="str">
        <f>+[24]第５表!D22</f>
        <v>医療，福祉</v>
      </c>
      <c r="E22" s="52">
        <f>IF($D22="","",IF([23]設定!$H36="",INDEX([23]第３表!$F$80:$Q$136,MATCH([23]設定!$D36,[23]第３表!$C$80:$C$136,0),1),[23]設定!$H36))</f>
        <v>18.8</v>
      </c>
      <c r="F22" s="52">
        <f>IF($D22="","",IF([23]設定!$H36="",INDEX([23]第３表!$F$80:$Q$136,MATCH([23]設定!$D36,[23]第３表!$C$80:$C$136,0),2),[23]設定!$H36))</f>
        <v>142.5</v>
      </c>
      <c r="G22" s="52">
        <f>IF($D22="","",IF([23]設定!$H36="",INDEX([23]第３表!$F$80:$Q$136,MATCH([23]設定!$D36,[23]第３表!$C$80:$C$136,0),3),[23]設定!$H36))</f>
        <v>138.1</v>
      </c>
      <c r="H22" s="53">
        <f>IF($D22="","",IF([23]設定!$H36="",INDEX([23]第３表!$F$80:$Q$136,MATCH([23]設定!$D36,[23]第３表!$C$80:$C$136,0),4),[23]設定!$H36))</f>
        <v>4.4000000000000004</v>
      </c>
      <c r="I22" s="54">
        <f>IF($D22="","",IF([23]設定!$H36="",INDEX([23]第３表!$F$80:$Q$136,MATCH([23]設定!$D36,[23]第３表!$C$80:$C$136,0),5),[23]設定!$H36))</f>
        <v>19.399999999999999</v>
      </c>
      <c r="J22" s="54">
        <f>IF($D22="","",IF([23]設定!$H36="",INDEX([23]第３表!$F$80:$Q$136,MATCH([23]設定!$D36,[23]第３表!$C$80:$C$136,0),6),[23]設定!$H36))</f>
        <v>149.69999999999999</v>
      </c>
      <c r="K22" s="54">
        <f>IF($D22="","",IF([23]設定!$H36="",INDEX([23]第３表!$F$80:$Q$136,MATCH([23]設定!$D36,[23]第３表!$C$80:$C$136,0),7),[23]設定!$H36))</f>
        <v>145.4</v>
      </c>
      <c r="L22" s="55">
        <f>IF($D22="","",IF([23]設定!$H36="",INDEX([23]第３表!$F$80:$Q$136,MATCH([23]設定!$D36,[23]第３表!$C$80:$C$136,0),8),[23]設定!$H36))</f>
        <v>4.3</v>
      </c>
      <c r="M22" s="56">
        <f>IF($D22="","",IF([23]設定!$H36="",INDEX([23]第３表!$F$80:$Q$136,MATCH([23]設定!$D36,[23]第３表!$C$80:$C$136,0),9),[23]設定!$H36))</f>
        <v>18.600000000000001</v>
      </c>
      <c r="N22" s="56">
        <f>IF($D22="","",IF([23]設定!$H36="",INDEX([23]第３表!$F$80:$Q$136,MATCH([23]設定!$D36,[23]第３表!$C$80:$C$136,0),10),[23]設定!$H36))</f>
        <v>140.1</v>
      </c>
      <c r="O22" s="56">
        <f>IF($D22="","",IF([23]設定!$H36="",INDEX([23]第３表!$F$80:$Q$136,MATCH([23]設定!$D36,[23]第３表!$C$80:$C$136,0),11),[23]設定!$H36))</f>
        <v>135.69999999999999</v>
      </c>
      <c r="P22" s="57">
        <f>IF($D22="","",IF([23]設定!$H36="",INDEX([23]第３表!$F$80:$Q$136,MATCH([23]設定!$D36,[23]第３表!$C$80:$C$136,0),12),[23]設定!$H36))</f>
        <v>4.4000000000000004</v>
      </c>
    </row>
    <row r="23" spans="2:16" s="8" customFormat="1" ht="17.25" customHeight="1" x14ac:dyDescent="0.45">
      <c r="B23" s="49" t="str">
        <f>+[24]第５表!B23</f>
        <v>Q</v>
      </c>
      <c r="C23" s="50"/>
      <c r="D23" s="51" t="str">
        <f>+[24]第５表!D23</f>
        <v>複合サービス事業</v>
      </c>
      <c r="E23" s="52">
        <f>IF($D23="","",IF([23]設定!$H37="",INDEX([23]第３表!$F$80:$Q$136,MATCH([23]設定!$D37,[23]第３表!$C$80:$C$136,0),1),[23]設定!$H37))</f>
        <v>19.7</v>
      </c>
      <c r="F23" s="52">
        <f>IF($D23="","",IF([23]設定!$H37="",INDEX([23]第３表!$F$80:$Q$136,MATCH([23]設定!$D37,[23]第３表!$C$80:$C$136,0),2),[23]設定!$H37))</f>
        <v>157.19999999999999</v>
      </c>
      <c r="G23" s="52">
        <f>IF($D23="","",IF([23]設定!$H37="",INDEX([23]第３表!$F$80:$Q$136,MATCH([23]設定!$D37,[23]第３表!$C$80:$C$136,0),3),[23]設定!$H37))</f>
        <v>152</v>
      </c>
      <c r="H23" s="53">
        <f>IF($D23="","",IF([23]設定!$H37="",INDEX([23]第３表!$F$80:$Q$136,MATCH([23]設定!$D37,[23]第３表!$C$80:$C$136,0),4),[23]設定!$H37))</f>
        <v>5.2</v>
      </c>
      <c r="I23" s="54">
        <f>IF($D23="","",IF([23]設定!$H37="",INDEX([23]第３表!$F$80:$Q$136,MATCH([23]設定!$D37,[23]第３表!$C$80:$C$136,0),5),[23]設定!$H37))</f>
        <v>19.899999999999999</v>
      </c>
      <c r="J23" s="54">
        <f>IF($D23="","",IF([23]設定!$H37="",INDEX([23]第３表!$F$80:$Q$136,MATCH([23]設定!$D37,[23]第３表!$C$80:$C$136,0),6),[23]設定!$H37))</f>
        <v>163.1</v>
      </c>
      <c r="K23" s="54">
        <f>IF($D23="","",IF([23]設定!$H37="",INDEX([23]第３表!$F$80:$Q$136,MATCH([23]設定!$D37,[23]第３表!$C$80:$C$136,0),7),[23]設定!$H37))</f>
        <v>156.19999999999999</v>
      </c>
      <c r="L23" s="55">
        <f>IF($D23="","",IF([23]設定!$H37="",INDEX([23]第３表!$F$80:$Q$136,MATCH([23]設定!$D37,[23]第３表!$C$80:$C$136,0),8),[23]設定!$H37))</f>
        <v>6.9</v>
      </c>
      <c r="M23" s="56">
        <f>IF($D23="","",IF([23]設定!$H37="",INDEX([23]第３表!$F$80:$Q$136,MATCH([23]設定!$D37,[23]第３表!$C$80:$C$136,0),9),[23]設定!$H37))</f>
        <v>19.3</v>
      </c>
      <c r="N23" s="56">
        <f>IF($D23="","",IF([23]設定!$H37="",INDEX([23]第３表!$F$80:$Q$136,MATCH([23]設定!$D37,[23]第３表!$C$80:$C$136,0),10),[23]設定!$H37))</f>
        <v>146.69999999999999</v>
      </c>
      <c r="O23" s="56">
        <f>IF($D23="","",IF([23]設定!$H37="",INDEX([23]第３表!$F$80:$Q$136,MATCH([23]設定!$D37,[23]第３表!$C$80:$C$136,0),11),[23]設定!$H37))</f>
        <v>144.5</v>
      </c>
      <c r="P23" s="57">
        <f>IF($D23="","",IF([23]設定!$H37="",INDEX([23]第３表!$F$80:$Q$136,MATCH([23]設定!$D37,[23]第３表!$C$80:$C$136,0),12),[23]設定!$H37))</f>
        <v>2.2000000000000002</v>
      </c>
    </row>
    <row r="24" spans="2:16" s="8" customFormat="1" ht="17.25" customHeight="1" x14ac:dyDescent="0.45">
      <c r="B24" s="49" t="str">
        <f>+[24]第５表!B24</f>
        <v>R</v>
      </c>
      <c r="C24" s="50"/>
      <c r="D24" s="62" t="str">
        <f>+[24]第５表!D24</f>
        <v>サービス業（他に分類されないもの）</v>
      </c>
      <c r="E24" s="52">
        <f>IF($D24="","",IF([23]設定!$H38="",INDEX([23]第３表!$F$80:$Q$136,MATCH([23]設定!$D38,[23]第３表!$C$80:$C$136,0),1),[23]設定!$H38))</f>
        <v>18.5</v>
      </c>
      <c r="F24" s="52">
        <f>IF($D24="","",IF([23]設定!$H38="",INDEX([23]第３表!$F$80:$Q$136,MATCH([23]設定!$D38,[23]第３表!$C$80:$C$136,0),2),[23]設定!$H38))</f>
        <v>139.6</v>
      </c>
      <c r="G24" s="52">
        <f>IF($D24="","",IF([23]設定!$H38="",INDEX([23]第３表!$F$80:$Q$136,MATCH([23]設定!$D38,[23]第３表!$C$80:$C$136,0),3),[23]設定!$H38))</f>
        <v>132</v>
      </c>
      <c r="H24" s="53">
        <f>IF($D24="","",IF([23]設定!$H38="",INDEX([23]第３表!$F$80:$Q$136,MATCH([23]設定!$D38,[23]第３表!$C$80:$C$136,0),4),[23]設定!$H38))</f>
        <v>7.6</v>
      </c>
      <c r="I24" s="54">
        <f>IF($D24="","",IF([23]設定!$H38="",INDEX([23]第３表!$F$80:$Q$136,MATCH([23]設定!$D38,[23]第３表!$C$80:$C$136,0),5),[23]設定!$H38))</f>
        <v>19.100000000000001</v>
      </c>
      <c r="J24" s="54">
        <f>IF($D24="","",IF([23]設定!$H38="",INDEX([23]第３表!$F$80:$Q$136,MATCH([23]設定!$D38,[23]第３表!$C$80:$C$136,0),6),[23]設定!$H38))</f>
        <v>152.4</v>
      </c>
      <c r="K24" s="54">
        <f>IF($D24="","",IF([23]設定!$H38="",INDEX([23]第３表!$F$80:$Q$136,MATCH([23]設定!$D38,[23]第３表!$C$80:$C$136,0),7),[23]設定!$H38))</f>
        <v>141.6</v>
      </c>
      <c r="L24" s="55">
        <f>IF($D24="","",IF([23]設定!$H38="",INDEX([23]第３表!$F$80:$Q$136,MATCH([23]設定!$D38,[23]第３表!$C$80:$C$136,0),8),[23]設定!$H38))</f>
        <v>10.8</v>
      </c>
      <c r="M24" s="56">
        <f>IF($D24="","",IF([23]設定!$H38="",INDEX([23]第３表!$F$80:$Q$136,MATCH([23]設定!$D38,[23]第３表!$C$80:$C$136,0),9),[23]設定!$H38))</f>
        <v>17.8</v>
      </c>
      <c r="N24" s="56">
        <f>IF($D24="","",IF([23]設定!$H38="",INDEX([23]第３表!$F$80:$Q$136,MATCH([23]設定!$D38,[23]第３表!$C$80:$C$136,0),10),[23]設定!$H38))</f>
        <v>124.4</v>
      </c>
      <c r="O24" s="56">
        <f>IF($D24="","",IF([23]設定!$H38="",INDEX([23]第３表!$F$80:$Q$136,MATCH([23]設定!$D38,[23]第３表!$C$80:$C$136,0),11),[23]設定!$H38))</f>
        <v>120.6</v>
      </c>
      <c r="P24" s="57">
        <f>IF($D24="","",IF([23]設定!$H38="",INDEX([23]第３表!$F$80:$Q$136,MATCH([23]設定!$D38,[23]第３表!$C$80:$C$136,0),12),[23]設定!$H38))</f>
        <v>3.8</v>
      </c>
    </row>
    <row r="25" spans="2:16" s="8" customFormat="1" ht="17.25" customHeight="1" x14ac:dyDescent="0.45">
      <c r="B25" s="45" t="str">
        <f>+[24]第５表!B25</f>
        <v>E09,10</v>
      </c>
      <c r="C25" s="46"/>
      <c r="D25" s="63" t="str">
        <f>+[24]第５表!D25</f>
        <v>食料品・たばこ</v>
      </c>
      <c r="E25" s="48">
        <f>IF($D25="","",IF([23]設定!$H39="",INDEX([23]第３表!$F$80:$Q$136,MATCH([23]設定!$D39,[23]第３表!$C$80:$C$136,0),1),[23]設定!$H39))</f>
        <v>19.5</v>
      </c>
      <c r="F25" s="48">
        <f>IF($D25="","",IF([23]設定!$H39="",INDEX([23]第３表!$F$80:$Q$136,MATCH([23]設定!$D39,[23]第３表!$C$80:$C$136,0),2),[23]設定!$H39))</f>
        <v>154.4</v>
      </c>
      <c r="G25" s="48">
        <f>IF($D25="","",IF([23]設定!$H39="",INDEX([23]第３表!$F$80:$Q$136,MATCH([23]設定!$D39,[23]第３表!$C$80:$C$136,0),3),[23]設定!$H39))</f>
        <v>143.4</v>
      </c>
      <c r="H25" s="64">
        <f>IF($D25="","",IF([23]設定!$H39="",INDEX([23]第３表!$F$80:$Q$136,MATCH([23]設定!$D39,[23]第３表!$C$80:$C$136,0),4),[23]設定!$H39))</f>
        <v>11</v>
      </c>
      <c r="I25" s="48">
        <f>IF($D25="","",IF([23]設定!$H39="",INDEX([23]第３表!$F$80:$Q$136,MATCH([23]設定!$D39,[23]第３表!$C$80:$C$136,0),5),[23]設定!$H39))</f>
        <v>20.399999999999999</v>
      </c>
      <c r="J25" s="48">
        <f>IF($D25="","",IF([23]設定!$H39="",INDEX([23]第３表!$F$80:$Q$136,MATCH([23]設定!$D39,[23]第３表!$C$80:$C$136,0),6),[23]設定!$H39))</f>
        <v>171.1</v>
      </c>
      <c r="K25" s="48">
        <f>IF($D25="","",IF([23]設定!$H39="",INDEX([23]第３表!$F$80:$Q$136,MATCH([23]設定!$D39,[23]第３表!$C$80:$C$136,0),7),[23]設定!$H39))</f>
        <v>156</v>
      </c>
      <c r="L25" s="64">
        <f>IF($D25="","",IF([23]設定!$H39="",INDEX([23]第３表!$F$80:$Q$136,MATCH([23]設定!$D39,[23]第３表!$C$80:$C$136,0),8),[23]設定!$H39))</f>
        <v>15.1</v>
      </c>
      <c r="M25" s="48">
        <f>IF($D25="","",IF([23]設定!$H39="",INDEX([23]第３表!$F$80:$Q$136,MATCH([23]設定!$D39,[23]第３表!$C$80:$C$136,0),9),[23]設定!$H39))</f>
        <v>18.899999999999999</v>
      </c>
      <c r="N25" s="48">
        <f>IF($D25="","",IF([23]設定!$H39="",INDEX([23]第３表!$F$80:$Q$136,MATCH([23]設定!$D39,[23]第３表!$C$80:$C$136,0),10),[23]設定!$H39))</f>
        <v>143.30000000000001</v>
      </c>
      <c r="O25" s="48">
        <f>IF($D25="","",IF([23]設定!$H39="",INDEX([23]第３表!$F$80:$Q$136,MATCH([23]設定!$D39,[23]第３表!$C$80:$C$136,0),11),[23]設定!$H39))</f>
        <v>135</v>
      </c>
      <c r="P25" s="64">
        <f>IF($D25="","",IF([23]設定!$H39="",INDEX([23]第３表!$F$80:$Q$136,MATCH([23]設定!$D39,[23]第３表!$C$80:$C$136,0),12),[23]設定!$H39))</f>
        <v>8.3000000000000007</v>
      </c>
    </row>
    <row r="26" spans="2:16" s="8" customFormat="1" ht="17.25" customHeight="1" x14ac:dyDescent="0.45">
      <c r="B26" s="49" t="str">
        <f>+[24]第５表!B26</f>
        <v>E11</v>
      </c>
      <c r="C26" s="50"/>
      <c r="D26" s="65" t="str">
        <f>+[24]第５表!D26</f>
        <v>繊維工業</v>
      </c>
      <c r="E26" s="52">
        <f>IF($D26="","",IF([23]設定!$H40="",INDEX([23]第３表!$F$80:$Q$136,MATCH([23]設定!$D40,[23]第３表!$C$80:$C$136,0),1),[23]設定!$H40))</f>
        <v>20.5</v>
      </c>
      <c r="F26" s="52">
        <f>IF($D26="","",IF([23]設定!$H40="",INDEX([23]第３表!$F$80:$Q$136,MATCH([23]設定!$D40,[23]第３表!$C$80:$C$136,0),2),[23]設定!$H40))</f>
        <v>159.30000000000001</v>
      </c>
      <c r="G26" s="52">
        <f>IF($D26="","",IF([23]設定!$H40="",INDEX([23]第３表!$F$80:$Q$136,MATCH([23]設定!$D40,[23]第３表!$C$80:$C$136,0),3),[23]設定!$H40))</f>
        <v>147.19999999999999</v>
      </c>
      <c r="H26" s="55">
        <f>IF($D26="","",IF([23]設定!$H40="",INDEX([23]第３表!$F$80:$Q$136,MATCH([23]設定!$D40,[23]第３表!$C$80:$C$136,0),4),[23]設定!$H40))</f>
        <v>12.1</v>
      </c>
      <c r="I26" s="52">
        <f>IF($D26="","",IF([23]設定!$H40="",INDEX([23]第３表!$F$80:$Q$136,MATCH([23]設定!$D40,[23]第３表!$C$80:$C$136,0),5),[23]設定!$H40))</f>
        <v>20.2</v>
      </c>
      <c r="J26" s="52">
        <f>IF($D26="","",IF([23]設定!$H40="",INDEX([23]第３表!$F$80:$Q$136,MATCH([23]設定!$D40,[23]第３表!$C$80:$C$136,0),6),[23]設定!$H40))</f>
        <v>165</v>
      </c>
      <c r="K26" s="52">
        <f>IF($D26="","",IF([23]設定!$H40="",INDEX([23]第３表!$F$80:$Q$136,MATCH([23]設定!$D40,[23]第３表!$C$80:$C$136,0),7),[23]設定!$H40))</f>
        <v>149.30000000000001</v>
      </c>
      <c r="L26" s="55">
        <f>IF($D26="","",IF([23]設定!$H40="",INDEX([23]第３表!$F$80:$Q$136,MATCH([23]設定!$D40,[23]第３表!$C$80:$C$136,0),8),[23]設定!$H40))</f>
        <v>15.7</v>
      </c>
      <c r="M26" s="52">
        <f>IF($D26="","",IF([23]設定!$H40="",INDEX([23]第３表!$F$80:$Q$136,MATCH([23]設定!$D40,[23]第３表!$C$80:$C$136,0),9),[23]設定!$H40))</f>
        <v>20.8</v>
      </c>
      <c r="N26" s="52">
        <f>IF($D26="","",IF([23]設定!$H40="",INDEX([23]第３表!$F$80:$Q$136,MATCH([23]設定!$D40,[23]第３表!$C$80:$C$136,0),10),[23]設定!$H40))</f>
        <v>155.19999999999999</v>
      </c>
      <c r="O26" s="52">
        <f>IF($D26="","",IF([23]設定!$H40="",INDEX([23]第３表!$F$80:$Q$136,MATCH([23]設定!$D40,[23]第３表!$C$80:$C$136,0),11),[23]設定!$H40))</f>
        <v>145.69999999999999</v>
      </c>
      <c r="P26" s="55">
        <f>IF($D26="","",IF([23]設定!$H40="",INDEX([23]第３表!$F$80:$Q$136,MATCH([23]設定!$D40,[23]第３表!$C$80:$C$136,0),12),[23]設定!$H40))</f>
        <v>9.5</v>
      </c>
    </row>
    <row r="27" spans="2:16" s="8" customFormat="1" ht="17.25" customHeight="1" x14ac:dyDescent="0.45">
      <c r="B27" s="49" t="str">
        <f>+[24]第５表!B27</f>
        <v>E12</v>
      </c>
      <c r="C27" s="50"/>
      <c r="D27" s="65" t="str">
        <f>+[24]第５表!D27</f>
        <v>木材・木製品</v>
      </c>
      <c r="E27" s="52">
        <f>IF($D27="","",IF([23]設定!$H41="",INDEX([23]第３表!$F$80:$Q$136,MATCH([23]設定!$D41,[23]第３表!$C$80:$C$136,0),1),[23]設定!$H41))</f>
        <v>19.2</v>
      </c>
      <c r="F27" s="52">
        <f>IF($D27="","",IF([23]設定!$H41="",INDEX([23]第３表!$F$80:$Q$136,MATCH([23]設定!$D41,[23]第３表!$C$80:$C$136,0),2),[23]設定!$H41))</f>
        <v>152.69999999999999</v>
      </c>
      <c r="G27" s="52">
        <f>IF($D27="","",IF([23]設定!$H41="",INDEX([23]第３表!$F$80:$Q$136,MATCH([23]設定!$D41,[23]第３表!$C$80:$C$136,0),3),[23]設定!$H41))</f>
        <v>144</v>
      </c>
      <c r="H27" s="55">
        <f>IF($D27="","",IF([23]設定!$H41="",INDEX([23]第３表!$F$80:$Q$136,MATCH([23]設定!$D41,[23]第３表!$C$80:$C$136,0),4),[23]設定!$H41))</f>
        <v>8.6999999999999993</v>
      </c>
      <c r="I27" s="52">
        <f>IF($D27="","",IF([23]設定!$H41="",INDEX([23]第３表!$F$80:$Q$136,MATCH([23]設定!$D41,[23]第３表!$C$80:$C$136,0),5),[23]設定!$H41))</f>
        <v>19.5</v>
      </c>
      <c r="J27" s="52">
        <f>IF($D27="","",IF([23]設定!$H41="",INDEX([23]第３表!$F$80:$Q$136,MATCH([23]設定!$D41,[23]第３表!$C$80:$C$136,0),6),[23]設定!$H41))</f>
        <v>159.80000000000001</v>
      </c>
      <c r="K27" s="52">
        <f>IF($D27="","",IF([23]設定!$H41="",INDEX([23]第３表!$F$80:$Q$136,MATCH([23]設定!$D41,[23]第３表!$C$80:$C$136,0),7),[23]設定!$H41))</f>
        <v>149.19999999999999</v>
      </c>
      <c r="L27" s="55">
        <f>IF($D27="","",IF([23]設定!$H41="",INDEX([23]第３表!$F$80:$Q$136,MATCH([23]設定!$D41,[23]第３表!$C$80:$C$136,0),8),[23]設定!$H41))</f>
        <v>10.6</v>
      </c>
      <c r="M27" s="52">
        <f>IF($D27="","",IF([23]設定!$H41="",INDEX([23]第３表!$F$80:$Q$136,MATCH([23]設定!$D41,[23]第３表!$C$80:$C$136,0),9),[23]設定!$H41))</f>
        <v>18.600000000000001</v>
      </c>
      <c r="N27" s="52">
        <f>IF($D27="","",IF([23]設定!$H41="",INDEX([23]第３表!$F$80:$Q$136,MATCH([23]設定!$D41,[23]第３表!$C$80:$C$136,0),10),[23]設定!$H41))</f>
        <v>132.69999999999999</v>
      </c>
      <c r="O27" s="52">
        <f>IF($D27="","",IF([23]設定!$H41="",INDEX([23]第３表!$F$80:$Q$136,MATCH([23]設定!$D41,[23]第３表!$C$80:$C$136,0),11),[23]設定!$H41))</f>
        <v>129.30000000000001</v>
      </c>
      <c r="P27" s="55">
        <f>IF($D27="","",IF([23]設定!$H41="",INDEX([23]第３表!$F$80:$Q$136,MATCH([23]設定!$D41,[23]第３表!$C$80:$C$136,0),12),[23]設定!$H41))</f>
        <v>3.4</v>
      </c>
    </row>
    <row r="28" spans="2:16" s="8" customFormat="1" ht="17.25" customHeight="1" x14ac:dyDescent="0.45">
      <c r="B28" s="49" t="str">
        <f>+[24]第５表!B28</f>
        <v>E13</v>
      </c>
      <c r="C28" s="50"/>
      <c r="D28" s="65" t="str">
        <f>+[24]第５表!D28</f>
        <v>家具・装備品</v>
      </c>
      <c r="E28" s="52" t="str">
        <f>IF($D28="","",IF([23]設定!$H42="",INDEX([23]第３表!$F$80:$Q$136,MATCH([23]設定!$D42,[23]第３表!$C$80:$C$136,0),1),[23]設定!$H42))</f>
        <v>x</v>
      </c>
      <c r="F28" s="52" t="str">
        <f>IF($D28="","",IF([23]設定!$H42="",INDEX([23]第３表!$F$80:$Q$136,MATCH([23]設定!$D42,[23]第３表!$C$80:$C$136,0),2),[23]設定!$H42))</f>
        <v>x</v>
      </c>
      <c r="G28" s="52" t="str">
        <f>IF($D28="","",IF([23]設定!$H42="",INDEX([23]第３表!$F$80:$Q$136,MATCH([23]設定!$D42,[23]第３表!$C$80:$C$136,0),3),[23]設定!$H42))</f>
        <v>x</v>
      </c>
      <c r="H28" s="55" t="str">
        <f>IF($D28="","",IF([23]設定!$H42="",INDEX([23]第３表!$F$80:$Q$136,MATCH([23]設定!$D42,[23]第３表!$C$80:$C$136,0),4),[23]設定!$H42))</f>
        <v>x</v>
      </c>
      <c r="I28" s="52" t="str">
        <f>IF($D28="","",IF([23]設定!$H42="",INDEX([23]第３表!$F$80:$Q$136,MATCH([23]設定!$D42,[23]第３表!$C$80:$C$136,0),5),[23]設定!$H42))</f>
        <v>x</v>
      </c>
      <c r="J28" s="52" t="str">
        <f>IF($D28="","",IF([23]設定!$H42="",INDEX([23]第３表!$F$80:$Q$136,MATCH([23]設定!$D42,[23]第３表!$C$80:$C$136,0),6),[23]設定!$H42))</f>
        <v>x</v>
      </c>
      <c r="K28" s="52" t="str">
        <f>IF($D28="","",IF([23]設定!$H42="",INDEX([23]第３表!$F$80:$Q$136,MATCH([23]設定!$D42,[23]第３表!$C$80:$C$136,0),7),[23]設定!$H42))</f>
        <v>x</v>
      </c>
      <c r="L28" s="55" t="str">
        <f>IF($D28="","",IF([23]設定!$H42="",INDEX([23]第３表!$F$80:$Q$136,MATCH([23]設定!$D42,[23]第３表!$C$80:$C$136,0),8),[23]設定!$H42))</f>
        <v>x</v>
      </c>
      <c r="M28" s="52" t="str">
        <f>IF($D28="","",IF([23]設定!$H42="",INDEX([23]第３表!$F$80:$Q$136,MATCH([23]設定!$D42,[23]第３表!$C$80:$C$136,0),9),[23]設定!$H42))</f>
        <v>x</v>
      </c>
      <c r="N28" s="52" t="str">
        <f>IF($D28="","",IF([23]設定!$H42="",INDEX([23]第３表!$F$80:$Q$136,MATCH([23]設定!$D42,[23]第３表!$C$80:$C$136,0),10),[23]設定!$H42))</f>
        <v>x</v>
      </c>
      <c r="O28" s="52" t="str">
        <f>IF($D28="","",IF([23]設定!$H42="",INDEX([23]第３表!$F$80:$Q$136,MATCH([23]設定!$D42,[23]第３表!$C$80:$C$136,0),11),[23]設定!$H42))</f>
        <v>x</v>
      </c>
      <c r="P28" s="55" t="str">
        <f>IF($D28="","",IF([23]設定!$H42="",INDEX([23]第３表!$F$80:$Q$136,MATCH([23]設定!$D42,[23]第３表!$C$80:$C$136,0),12),[23]設定!$H42))</f>
        <v>x</v>
      </c>
    </row>
    <row r="29" spans="2:16" s="8" customFormat="1" ht="17.25" customHeight="1" x14ac:dyDescent="0.45">
      <c r="B29" s="49" t="str">
        <f>+[24]第５表!B29</f>
        <v>E15</v>
      </c>
      <c r="C29" s="50"/>
      <c r="D29" s="65" t="str">
        <f>+[24]第５表!D29</f>
        <v>印刷・同関連業</v>
      </c>
      <c r="E29" s="52">
        <f>IF($D29="","",IF([23]設定!$H43="",INDEX([23]第３表!$F$80:$Q$136,MATCH([23]設定!$D43,[23]第３表!$C$80:$C$136,0),1),[23]設定!$H43))</f>
        <v>20.6</v>
      </c>
      <c r="F29" s="52">
        <f>IF($D29="","",IF([23]設定!$H43="",INDEX([23]第３表!$F$80:$Q$136,MATCH([23]設定!$D43,[23]第３表!$C$80:$C$136,0),2),[23]設定!$H43))</f>
        <v>165.1</v>
      </c>
      <c r="G29" s="52">
        <f>IF($D29="","",IF([23]設定!$H43="",INDEX([23]第３表!$F$80:$Q$136,MATCH([23]設定!$D43,[23]第３表!$C$80:$C$136,0),3),[23]設定!$H43))</f>
        <v>157.30000000000001</v>
      </c>
      <c r="H29" s="55">
        <f>IF($D29="","",IF([23]設定!$H43="",INDEX([23]第３表!$F$80:$Q$136,MATCH([23]設定!$D43,[23]第３表!$C$80:$C$136,0),4),[23]設定!$H43))</f>
        <v>7.8</v>
      </c>
      <c r="I29" s="52">
        <f>IF($D29="","",IF([23]設定!$H43="",INDEX([23]第３表!$F$80:$Q$136,MATCH([23]設定!$D43,[23]第３表!$C$80:$C$136,0),5),[23]設定!$H43))</f>
        <v>20.399999999999999</v>
      </c>
      <c r="J29" s="52">
        <f>IF($D29="","",IF([23]設定!$H43="",INDEX([23]第３表!$F$80:$Q$136,MATCH([23]設定!$D43,[23]第３表!$C$80:$C$136,0),6),[23]設定!$H43))</f>
        <v>166.3</v>
      </c>
      <c r="K29" s="52">
        <f>IF($D29="","",IF([23]設定!$H43="",INDEX([23]第３表!$F$80:$Q$136,MATCH([23]設定!$D43,[23]第３表!$C$80:$C$136,0),7),[23]設定!$H43))</f>
        <v>157.80000000000001</v>
      </c>
      <c r="L29" s="55">
        <f>IF($D29="","",IF([23]設定!$H43="",INDEX([23]第３表!$F$80:$Q$136,MATCH([23]設定!$D43,[23]第３表!$C$80:$C$136,0),8),[23]設定!$H43))</f>
        <v>8.5</v>
      </c>
      <c r="M29" s="52">
        <f>IF($D29="","",IF([23]設定!$H43="",INDEX([23]第３表!$F$80:$Q$136,MATCH([23]設定!$D43,[23]第３表!$C$80:$C$136,0),9),[23]設定!$H43))</f>
        <v>21.2</v>
      </c>
      <c r="N29" s="52">
        <f>IF($D29="","",IF([23]設定!$H43="",INDEX([23]第３表!$F$80:$Q$136,MATCH([23]設定!$D43,[23]第３表!$C$80:$C$136,0),10),[23]設定!$H43))</f>
        <v>162.30000000000001</v>
      </c>
      <c r="O29" s="52">
        <f>IF($D29="","",IF([23]設定!$H43="",INDEX([23]第３表!$F$80:$Q$136,MATCH([23]設定!$D43,[23]第３表!$C$80:$C$136,0),11),[23]設定!$H43))</f>
        <v>156.19999999999999</v>
      </c>
      <c r="P29" s="55">
        <f>IF($D29="","",IF([23]設定!$H43="",INDEX([23]第３表!$F$80:$Q$136,MATCH([23]設定!$D43,[23]第３表!$C$80:$C$136,0),12),[23]設定!$H43))</f>
        <v>6.1</v>
      </c>
    </row>
    <row r="30" spans="2:16" s="8" customFormat="1" ht="17.25" customHeight="1" x14ac:dyDescent="0.45">
      <c r="B30" s="49" t="str">
        <f>+[24]第５表!B30</f>
        <v>E16,17</v>
      </c>
      <c r="C30" s="50"/>
      <c r="D30" s="65" t="str">
        <f>+[24]第５表!D30</f>
        <v>化学、石油・石炭</v>
      </c>
      <c r="E30" s="52">
        <f>IF($D30="","",IF([23]設定!$H44="",INDEX([23]第３表!$F$80:$Q$136,MATCH([23]設定!$D44,[23]第３表!$C$80:$C$136,0),1),[23]設定!$H44))</f>
        <v>19.7</v>
      </c>
      <c r="F30" s="52">
        <f>IF($D30="","",IF([23]設定!$H44="",INDEX([23]第３表!$F$80:$Q$136,MATCH([23]設定!$D44,[23]第３表!$C$80:$C$136,0),2),[23]設定!$H44))</f>
        <v>165.1</v>
      </c>
      <c r="G30" s="52">
        <f>IF($D30="","",IF([23]設定!$H44="",INDEX([23]第３表!$F$80:$Q$136,MATCH([23]設定!$D44,[23]第３表!$C$80:$C$136,0),3),[23]設定!$H44))</f>
        <v>146.5</v>
      </c>
      <c r="H30" s="55">
        <f>IF($D30="","",IF([23]設定!$H44="",INDEX([23]第３表!$F$80:$Q$136,MATCH([23]設定!$D44,[23]第３表!$C$80:$C$136,0),4),[23]設定!$H44))</f>
        <v>18.600000000000001</v>
      </c>
      <c r="I30" s="52">
        <f>IF($D30="","",IF([23]設定!$H44="",INDEX([23]第３表!$F$80:$Q$136,MATCH([23]設定!$D44,[23]第３表!$C$80:$C$136,0),5),[23]設定!$H44))</f>
        <v>19.899999999999999</v>
      </c>
      <c r="J30" s="52">
        <f>IF($D30="","",IF([23]設定!$H44="",INDEX([23]第３表!$F$80:$Q$136,MATCH([23]設定!$D44,[23]第３表!$C$80:$C$136,0),6),[23]設定!$H44))</f>
        <v>167.5</v>
      </c>
      <c r="K30" s="52">
        <f>IF($D30="","",IF([23]設定!$H44="",INDEX([23]第３表!$F$80:$Q$136,MATCH([23]設定!$D44,[23]第３表!$C$80:$C$136,0),7),[23]設定!$H44))</f>
        <v>148</v>
      </c>
      <c r="L30" s="55">
        <f>IF($D30="","",IF([23]設定!$H44="",INDEX([23]第３表!$F$80:$Q$136,MATCH([23]設定!$D44,[23]第３表!$C$80:$C$136,0),8),[23]設定!$H44))</f>
        <v>19.5</v>
      </c>
      <c r="M30" s="52">
        <f>IF($D30="","",IF([23]設定!$H44="",INDEX([23]第３表!$F$80:$Q$136,MATCH([23]設定!$D44,[23]第３表!$C$80:$C$136,0),9),[23]設定!$H44))</f>
        <v>17.5</v>
      </c>
      <c r="N30" s="52">
        <f>IF($D30="","",IF([23]設定!$H44="",INDEX([23]第３表!$F$80:$Q$136,MATCH([23]設定!$D44,[23]第３表!$C$80:$C$136,0),10),[23]設定!$H44))</f>
        <v>139.6</v>
      </c>
      <c r="O30" s="52">
        <f>IF($D30="","",IF([23]設定!$H44="",INDEX([23]第３表!$F$80:$Q$136,MATCH([23]設定!$D44,[23]第３表!$C$80:$C$136,0),11),[23]設定!$H44))</f>
        <v>130.30000000000001</v>
      </c>
      <c r="P30" s="55">
        <f>IF($D30="","",IF([23]設定!$H44="",INDEX([23]第３表!$F$80:$Q$136,MATCH([23]設定!$D44,[23]第３表!$C$80:$C$136,0),12),[23]設定!$H44))</f>
        <v>9.3000000000000007</v>
      </c>
    </row>
    <row r="31" spans="2:16" s="8" customFormat="1" ht="17.25" customHeight="1" x14ac:dyDescent="0.45">
      <c r="B31" s="49" t="str">
        <f>+[24]第５表!B31</f>
        <v>E18</v>
      </c>
      <c r="C31" s="50"/>
      <c r="D31" s="65" t="str">
        <f>+[24]第５表!D31</f>
        <v>プラスチック製品</v>
      </c>
      <c r="E31" s="52">
        <f>IF($D31="","",IF([23]設定!$H45="",INDEX([23]第３表!$F$80:$Q$136,MATCH([23]設定!$D45,[23]第３表!$C$80:$C$136,0),1),[23]設定!$H45))</f>
        <v>20</v>
      </c>
      <c r="F31" s="52">
        <f>IF($D31="","",IF([23]設定!$H45="",INDEX([23]第３表!$F$80:$Q$136,MATCH([23]設定!$D45,[23]第３表!$C$80:$C$136,0),2),[23]設定!$H45))</f>
        <v>151.80000000000001</v>
      </c>
      <c r="G31" s="52">
        <f>IF($D31="","",IF([23]設定!$H45="",INDEX([23]第３表!$F$80:$Q$136,MATCH([23]設定!$D45,[23]第３表!$C$80:$C$136,0),3),[23]設定!$H45))</f>
        <v>141.80000000000001</v>
      </c>
      <c r="H31" s="55">
        <f>IF($D31="","",IF([23]設定!$H45="",INDEX([23]第３表!$F$80:$Q$136,MATCH([23]設定!$D45,[23]第３表!$C$80:$C$136,0),4),[23]設定!$H45))</f>
        <v>10</v>
      </c>
      <c r="I31" s="52">
        <f>IF($D31="","",IF([23]設定!$H45="",INDEX([23]第３表!$F$80:$Q$136,MATCH([23]設定!$D45,[23]第３表!$C$80:$C$136,0),5),[23]設定!$H45))</f>
        <v>20.100000000000001</v>
      </c>
      <c r="J31" s="52">
        <f>IF($D31="","",IF([23]設定!$H45="",INDEX([23]第３表!$F$80:$Q$136,MATCH([23]設定!$D45,[23]第３表!$C$80:$C$136,0),6),[23]設定!$H45))</f>
        <v>161.5</v>
      </c>
      <c r="K31" s="52">
        <f>IF($D31="","",IF([23]設定!$H45="",INDEX([23]第３表!$F$80:$Q$136,MATCH([23]設定!$D45,[23]第３表!$C$80:$C$136,0),7),[23]設定!$H45))</f>
        <v>147.9</v>
      </c>
      <c r="L31" s="55">
        <f>IF($D31="","",IF([23]設定!$H45="",INDEX([23]第３表!$F$80:$Q$136,MATCH([23]設定!$D45,[23]第３表!$C$80:$C$136,0),8),[23]設定!$H45))</f>
        <v>13.6</v>
      </c>
      <c r="M31" s="52">
        <f>IF($D31="","",IF([23]設定!$H45="",INDEX([23]第３表!$F$80:$Q$136,MATCH([23]設定!$D45,[23]第３表!$C$80:$C$136,0),9),[23]設定!$H45))</f>
        <v>20</v>
      </c>
      <c r="N31" s="52">
        <f>IF($D31="","",IF([23]設定!$H45="",INDEX([23]第３表!$F$80:$Q$136,MATCH([23]設定!$D45,[23]第３表!$C$80:$C$136,0),10),[23]設定!$H45))</f>
        <v>127.4</v>
      </c>
      <c r="O31" s="52">
        <f>IF($D31="","",IF([23]設定!$H45="",INDEX([23]第３表!$F$80:$Q$136,MATCH([23]設定!$D45,[23]第３表!$C$80:$C$136,0),11),[23]設定!$H45))</f>
        <v>126.4</v>
      </c>
      <c r="P31" s="55">
        <f>IF($D31="","",IF([23]設定!$H45="",INDEX([23]第３表!$F$80:$Q$136,MATCH([23]設定!$D45,[23]第３表!$C$80:$C$136,0),12),[23]設定!$H45))</f>
        <v>1</v>
      </c>
    </row>
    <row r="32" spans="2:16" s="8" customFormat="1" ht="17.25" customHeight="1" x14ac:dyDescent="0.45">
      <c r="B32" s="49" t="str">
        <f>+[24]第５表!B32</f>
        <v>E19</v>
      </c>
      <c r="C32" s="50"/>
      <c r="D32" s="65" t="str">
        <f>+[24]第５表!D32</f>
        <v>ゴム製品</v>
      </c>
      <c r="E32" s="52">
        <f>IF($D32="","",IF([23]設定!$H46="",INDEX([23]第３表!$F$80:$Q$136,MATCH([23]設定!$D46,[23]第３表!$C$80:$C$136,0),1),[23]設定!$H46))</f>
        <v>19.2</v>
      </c>
      <c r="F32" s="52">
        <f>IF($D32="","",IF([23]設定!$H46="",INDEX([23]第３表!$F$80:$Q$136,MATCH([23]設定!$D46,[23]第３表!$C$80:$C$136,0),2),[23]設定!$H46))</f>
        <v>161.6</v>
      </c>
      <c r="G32" s="52">
        <f>IF($D32="","",IF([23]設定!$H46="",INDEX([23]第３表!$F$80:$Q$136,MATCH([23]設定!$D46,[23]第３表!$C$80:$C$136,0),3),[23]設定!$H46))</f>
        <v>142</v>
      </c>
      <c r="H32" s="55">
        <f>IF($D32="","",IF([23]設定!$H46="",INDEX([23]第３表!$F$80:$Q$136,MATCH([23]設定!$D46,[23]第３表!$C$80:$C$136,0),4),[23]設定!$H46))</f>
        <v>19.600000000000001</v>
      </c>
      <c r="I32" s="52">
        <f>IF($D32="","",IF([23]設定!$H46="",INDEX([23]第３表!$F$80:$Q$136,MATCH([23]設定!$D46,[23]第３表!$C$80:$C$136,0),5),[23]設定!$H46))</f>
        <v>19</v>
      </c>
      <c r="J32" s="52">
        <f>IF($D32="","",IF([23]設定!$H46="",INDEX([23]第３表!$F$80:$Q$136,MATCH([23]設定!$D46,[23]第３表!$C$80:$C$136,0),6),[23]設定!$H46))</f>
        <v>160.80000000000001</v>
      </c>
      <c r="K32" s="52">
        <f>IF($D32="","",IF([23]設定!$H46="",INDEX([23]第３表!$F$80:$Q$136,MATCH([23]設定!$D46,[23]第３表!$C$80:$C$136,0),7),[23]設定!$H46))</f>
        <v>139.9</v>
      </c>
      <c r="L32" s="55">
        <f>IF($D32="","",IF([23]設定!$H46="",INDEX([23]第３表!$F$80:$Q$136,MATCH([23]設定!$D46,[23]第３表!$C$80:$C$136,0),8),[23]設定!$H46))</f>
        <v>20.9</v>
      </c>
      <c r="M32" s="52">
        <f>IF($D32="","",IF([23]設定!$H46="",INDEX([23]第３表!$F$80:$Q$136,MATCH([23]設定!$D46,[23]第３表!$C$80:$C$136,0),9),[23]設定!$H46))</f>
        <v>20.399999999999999</v>
      </c>
      <c r="N32" s="52">
        <f>IF($D32="","",IF([23]設定!$H46="",INDEX([23]第３表!$F$80:$Q$136,MATCH([23]設定!$D46,[23]第３表!$C$80:$C$136,0),10),[23]設定!$H46))</f>
        <v>166.5</v>
      </c>
      <c r="O32" s="52">
        <f>IF($D32="","",IF([23]設定!$H46="",INDEX([23]第３表!$F$80:$Q$136,MATCH([23]設定!$D46,[23]第３表!$C$80:$C$136,0),11),[23]設定!$H46))</f>
        <v>154.4</v>
      </c>
      <c r="P32" s="55">
        <f>IF($D32="","",IF([23]設定!$H46="",INDEX([23]第３表!$F$80:$Q$136,MATCH([23]設定!$D46,[23]第３表!$C$80:$C$136,0),12),[23]設定!$H46))</f>
        <v>12.1</v>
      </c>
    </row>
    <row r="33" spans="2:17" s="8" customFormat="1" ht="17.25" customHeight="1" x14ac:dyDescent="0.45">
      <c r="B33" s="49" t="str">
        <f>+[24]第５表!B33</f>
        <v>E21</v>
      </c>
      <c r="C33" s="50"/>
      <c r="D33" s="65" t="str">
        <f>+[24]第５表!D33</f>
        <v>窯業・土石製品</v>
      </c>
      <c r="E33" s="52">
        <f>IF($D33="","",IF([23]設定!$H47="",INDEX([23]第３表!$F$80:$Q$136,MATCH([23]設定!$D47,[23]第３表!$C$80:$C$136,0),1),[23]設定!$H47))</f>
        <v>20.2</v>
      </c>
      <c r="F33" s="52">
        <f>IF($D33="","",IF([23]設定!$H47="",INDEX([23]第３表!$F$80:$Q$136,MATCH([23]設定!$D47,[23]第３表!$C$80:$C$136,0),2),[23]設定!$H47))</f>
        <v>173</v>
      </c>
      <c r="G33" s="52">
        <f>IF($D33="","",IF([23]設定!$H47="",INDEX([23]第３表!$F$80:$Q$136,MATCH([23]設定!$D47,[23]第３表!$C$80:$C$136,0),3),[23]設定!$H47))</f>
        <v>159.30000000000001</v>
      </c>
      <c r="H33" s="55">
        <f>IF($D33="","",IF([23]設定!$H47="",INDEX([23]第３表!$F$80:$Q$136,MATCH([23]設定!$D47,[23]第３表!$C$80:$C$136,0),4),[23]設定!$H47))</f>
        <v>13.7</v>
      </c>
      <c r="I33" s="52">
        <f>IF($D33="","",IF([23]設定!$H47="",INDEX([23]第３表!$F$80:$Q$136,MATCH([23]設定!$D47,[23]第３表!$C$80:$C$136,0),5),[23]設定!$H47))</f>
        <v>20.2</v>
      </c>
      <c r="J33" s="52">
        <f>IF($D33="","",IF([23]設定!$H47="",INDEX([23]第３表!$F$80:$Q$136,MATCH([23]設定!$D47,[23]第３表!$C$80:$C$136,0),6),[23]設定!$H47))</f>
        <v>175.9</v>
      </c>
      <c r="K33" s="52">
        <f>IF($D33="","",IF([23]設定!$H47="",INDEX([23]第３表!$F$80:$Q$136,MATCH([23]設定!$D47,[23]第３表!$C$80:$C$136,0),7),[23]設定!$H47))</f>
        <v>159.5</v>
      </c>
      <c r="L33" s="55">
        <f>IF($D33="","",IF([23]設定!$H47="",INDEX([23]第３表!$F$80:$Q$136,MATCH([23]設定!$D47,[23]第３表!$C$80:$C$136,0),8),[23]設定!$H47))</f>
        <v>16.399999999999999</v>
      </c>
      <c r="M33" s="52">
        <f>IF($D33="","",IF([23]設定!$H47="",INDEX([23]第３表!$F$80:$Q$136,MATCH([23]設定!$D47,[23]第３表!$C$80:$C$136,0),9),[23]設定!$H47))</f>
        <v>20.5</v>
      </c>
      <c r="N33" s="52">
        <f>IF($D33="","",IF([23]設定!$H47="",INDEX([23]第３表!$F$80:$Q$136,MATCH([23]設定!$D47,[23]第３表!$C$80:$C$136,0),10),[23]設定!$H47))</f>
        <v>162</v>
      </c>
      <c r="O33" s="52">
        <f>IF($D33="","",IF([23]設定!$H47="",INDEX([23]第３表!$F$80:$Q$136,MATCH([23]設定!$D47,[23]第３表!$C$80:$C$136,0),11),[23]設定!$H47))</f>
        <v>158.5</v>
      </c>
      <c r="P33" s="55">
        <f>IF($D33="","",IF([23]設定!$H47="",INDEX([23]第３表!$F$80:$Q$136,MATCH([23]設定!$D47,[23]第３表!$C$80:$C$136,0),12),[23]設定!$H47))</f>
        <v>3.5</v>
      </c>
    </row>
    <row r="34" spans="2:17" s="8" customFormat="1" ht="17.25" customHeight="1" x14ac:dyDescent="0.45">
      <c r="B34" s="49" t="str">
        <f>+[24]第５表!B34</f>
        <v>E24</v>
      </c>
      <c r="C34" s="50"/>
      <c r="D34" s="65" t="str">
        <f>+[24]第５表!D34</f>
        <v>金属製品製造業</v>
      </c>
      <c r="E34" s="55">
        <f>IF($D34="","",IF([23]設定!$H48="",INDEX([23]第３表!$F$80:$Q$136,MATCH([23]設定!$D48,[23]第３表!$C$80:$C$136,0),1),[23]設定!$H48))</f>
        <v>20.100000000000001</v>
      </c>
      <c r="F34" s="55">
        <f>IF($D34="","",IF([23]設定!$H48="",INDEX([23]第３表!$F$80:$Q$136,MATCH([23]設定!$D48,[23]第３表!$C$80:$C$136,0),2),[23]設定!$H48))</f>
        <v>160.69999999999999</v>
      </c>
      <c r="G34" s="55">
        <f>IF($D34="","",IF([23]設定!$H48="",INDEX([23]第３表!$F$80:$Q$136,MATCH([23]設定!$D48,[23]第３表!$C$80:$C$136,0),3),[23]設定!$H48))</f>
        <v>150.1</v>
      </c>
      <c r="H34" s="55">
        <f>IF($D34="","",IF([23]設定!$H48="",INDEX([23]第３表!$F$80:$Q$136,MATCH([23]設定!$D48,[23]第３表!$C$80:$C$136,0),4),[23]設定!$H48))</f>
        <v>10.6</v>
      </c>
      <c r="I34" s="55">
        <f>IF($D34="","",IF([23]設定!$H48="",INDEX([23]第３表!$F$80:$Q$136,MATCH([23]設定!$D48,[23]第３表!$C$80:$C$136,0),5),[23]設定!$H48))</f>
        <v>21.2</v>
      </c>
      <c r="J34" s="55">
        <f>IF($D34="","",IF([23]設定!$H48="",INDEX([23]第３表!$F$80:$Q$136,MATCH([23]設定!$D48,[23]第３表!$C$80:$C$136,0),6),[23]設定!$H48))</f>
        <v>177.5</v>
      </c>
      <c r="K34" s="55">
        <f>IF($D34="","",IF([23]設定!$H48="",INDEX([23]第３表!$F$80:$Q$136,MATCH([23]設定!$D48,[23]第３表!$C$80:$C$136,0),7),[23]設定!$H48))</f>
        <v>163.4</v>
      </c>
      <c r="L34" s="55">
        <f>IF($D34="","",IF([23]設定!$H48="",INDEX([23]第３表!$F$80:$Q$136,MATCH([23]設定!$D48,[23]第３表!$C$80:$C$136,0),8),[23]設定!$H48))</f>
        <v>14.1</v>
      </c>
      <c r="M34" s="55">
        <f>IF($D34="","",IF([23]設定!$H48="",INDEX([23]第３表!$F$80:$Q$136,MATCH([23]設定!$D48,[23]第３表!$C$80:$C$136,0),9),[23]設定!$H48))</f>
        <v>18.100000000000001</v>
      </c>
      <c r="N34" s="55">
        <f>IF($D34="","",IF([23]設定!$H48="",INDEX([23]第３表!$F$80:$Q$136,MATCH([23]設定!$D48,[23]第３表!$C$80:$C$136,0),10),[23]設定!$H48))</f>
        <v>132.9</v>
      </c>
      <c r="O34" s="55">
        <f>IF($D34="","",IF([23]設定!$H48="",INDEX([23]第３表!$F$80:$Q$136,MATCH([23]設定!$D48,[23]第３表!$C$80:$C$136,0),11),[23]設定!$H48))</f>
        <v>128.1</v>
      </c>
      <c r="P34" s="55">
        <f>IF($D34="","",IF([23]設定!$H48="",INDEX([23]第３表!$F$80:$Q$136,MATCH([23]設定!$D48,[23]第３表!$C$80:$C$136,0),12),[23]設定!$H48))</f>
        <v>4.8</v>
      </c>
    </row>
    <row r="35" spans="2:17" s="8" customFormat="1" ht="17.25" customHeight="1" x14ac:dyDescent="0.45">
      <c r="B35" s="49" t="str">
        <f>+[24]第５表!B35</f>
        <v>E27</v>
      </c>
      <c r="C35" s="50"/>
      <c r="D35" s="65" t="str">
        <f>+[24]第５表!D35</f>
        <v>業務用機械器具</v>
      </c>
      <c r="E35" s="55">
        <f>IF($D35="","",IF([23]設定!$H49="",INDEX([23]第３表!$F$80:$Q$136,MATCH([23]設定!$D49,[23]第３表!$C$80:$C$136,0),1),[23]設定!$H49))</f>
        <v>19.8</v>
      </c>
      <c r="F35" s="55">
        <f>IF($D35="","",IF([23]設定!$H49="",INDEX([23]第３表!$F$80:$Q$136,MATCH([23]設定!$D49,[23]第３表!$C$80:$C$136,0),2),[23]設定!$H49))</f>
        <v>168.4</v>
      </c>
      <c r="G35" s="55">
        <f>IF($D35="","",IF([23]設定!$H49="",INDEX([23]第３表!$F$80:$Q$136,MATCH([23]設定!$D49,[23]第３表!$C$80:$C$136,0),3),[23]設定!$H49))</f>
        <v>157.6</v>
      </c>
      <c r="H35" s="55">
        <f>IF($D35="","",IF([23]設定!$H49="",INDEX([23]第３表!$F$80:$Q$136,MATCH([23]設定!$D49,[23]第３表!$C$80:$C$136,0),4),[23]設定!$H49))</f>
        <v>10.8</v>
      </c>
      <c r="I35" s="55">
        <f>IF($D35="","",IF([23]設定!$H49="",INDEX([23]第３表!$F$80:$Q$136,MATCH([23]設定!$D49,[23]第３表!$C$80:$C$136,0),5),[23]設定!$H49))</f>
        <v>21.5</v>
      </c>
      <c r="J35" s="55">
        <f>IF($D35="","",IF([23]設定!$H49="",INDEX([23]第３表!$F$80:$Q$136,MATCH([23]設定!$D49,[23]第３表!$C$80:$C$136,0),6),[23]設定!$H49))</f>
        <v>182.8</v>
      </c>
      <c r="K35" s="55">
        <f>IF($D35="","",IF([23]設定!$H49="",INDEX([23]第３表!$F$80:$Q$136,MATCH([23]設定!$D49,[23]第３表!$C$80:$C$136,0),7),[23]設定!$H49))</f>
        <v>169.6</v>
      </c>
      <c r="L35" s="55">
        <f>IF($D35="","",IF([23]設定!$H49="",INDEX([23]第３表!$F$80:$Q$136,MATCH([23]設定!$D49,[23]第３表!$C$80:$C$136,0),8),[23]設定!$H49))</f>
        <v>13.2</v>
      </c>
      <c r="M35" s="55">
        <f>IF($D35="","",IF([23]設定!$H49="",INDEX([23]第３表!$F$80:$Q$136,MATCH([23]設定!$D49,[23]第３表!$C$80:$C$136,0),9),[23]設定!$H49))</f>
        <v>18.100000000000001</v>
      </c>
      <c r="N35" s="55">
        <f>IF($D35="","",IF([23]設定!$H49="",INDEX([23]第３表!$F$80:$Q$136,MATCH([23]設定!$D49,[23]第３表!$C$80:$C$136,0),10),[23]設定!$H49))</f>
        <v>154.6</v>
      </c>
      <c r="O35" s="55">
        <f>IF($D35="","",IF([23]設定!$H49="",INDEX([23]第３表!$F$80:$Q$136,MATCH([23]設定!$D49,[23]第３表!$C$80:$C$136,0),11),[23]設定!$H49))</f>
        <v>146.19999999999999</v>
      </c>
      <c r="P35" s="55">
        <f>IF($D35="","",IF([23]設定!$H49="",INDEX([23]第３表!$F$80:$Q$136,MATCH([23]設定!$D49,[23]第３表!$C$80:$C$136,0),12),[23]設定!$H49))</f>
        <v>8.4</v>
      </c>
    </row>
    <row r="36" spans="2:17" s="8" customFormat="1" ht="17.25" customHeight="1" x14ac:dyDescent="0.45">
      <c r="B36" s="49" t="str">
        <f>+[24]第５表!B36</f>
        <v>E28</v>
      </c>
      <c r="C36" s="50"/>
      <c r="D36" s="65" t="str">
        <f>+[24]第５表!D36</f>
        <v>電子・デバイス</v>
      </c>
      <c r="E36" s="55">
        <f>IF($D36="","",IF([23]設定!$H50="",INDEX([23]第３表!$F$80:$Q$136,MATCH([23]設定!$D50,[23]第３表!$C$80:$C$136,0),1),[23]設定!$H50))</f>
        <v>17.5</v>
      </c>
      <c r="F36" s="55">
        <f>IF($D36="","",IF([23]設定!$H50="",INDEX([23]第３表!$F$80:$Q$136,MATCH([23]設定!$D50,[23]第３表!$C$80:$C$136,0),2),[23]設定!$H50))</f>
        <v>148.5</v>
      </c>
      <c r="G36" s="55">
        <f>IF($D36="","",IF([23]設定!$H50="",INDEX([23]第３表!$F$80:$Q$136,MATCH([23]設定!$D50,[23]第３表!$C$80:$C$136,0),3),[23]設定!$H50))</f>
        <v>136.4</v>
      </c>
      <c r="H36" s="55">
        <f>IF($D36="","",IF([23]設定!$H50="",INDEX([23]第３表!$F$80:$Q$136,MATCH([23]設定!$D50,[23]第３表!$C$80:$C$136,0),4),[23]設定!$H50))</f>
        <v>12.1</v>
      </c>
      <c r="I36" s="55">
        <f>IF($D36="","",IF([23]設定!$H50="",INDEX([23]第３表!$F$80:$Q$136,MATCH([23]設定!$D50,[23]第３表!$C$80:$C$136,0),5),[23]設定!$H50))</f>
        <v>17.8</v>
      </c>
      <c r="J36" s="55">
        <f>IF($D36="","",IF([23]設定!$H50="",INDEX([23]第３表!$F$80:$Q$136,MATCH([23]設定!$D50,[23]第３表!$C$80:$C$136,0),6),[23]設定!$H50))</f>
        <v>157.4</v>
      </c>
      <c r="K36" s="55">
        <f>IF($D36="","",IF([23]設定!$H50="",INDEX([23]第３表!$F$80:$Q$136,MATCH([23]設定!$D50,[23]第３表!$C$80:$C$136,0),7),[23]設定!$H50))</f>
        <v>142.1</v>
      </c>
      <c r="L36" s="55">
        <f>IF($D36="","",IF([23]設定!$H50="",INDEX([23]第３表!$F$80:$Q$136,MATCH([23]設定!$D50,[23]第３表!$C$80:$C$136,0),8),[23]設定!$H50))</f>
        <v>15.3</v>
      </c>
      <c r="M36" s="55">
        <f>IF($D36="","",IF([23]設定!$H50="",INDEX([23]第３表!$F$80:$Q$136,MATCH([23]設定!$D50,[23]第３表!$C$80:$C$136,0),9),[23]設定!$H50))</f>
        <v>16.7</v>
      </c>
      <c r="N36" s="55">
        <f>IF($D36="","",IF([23]設定!$H50="",INDEX([23]第３表!$F$80:$Q$136,MATCH([23]設定!$D50,[23]第３表!$C$80:$C$136,0),10),[23]設定!$H50))</f>
        <v>131.19999999999999</v>
      </c>
      <c r="O36" s="55">
        <f>IF($D36="","",IF([23]設定!$H50="",INDEX([23]第３表!$F$80:$Q$136,MATCH([23]設定!$D50,[23]第３表!$C$80:$C$136,0),11),[23]設定!$H50))</f>
        <v>125.4</v>
      </c>
      <c r="P36" s="55">
        <f>IF($D36="","",IF([23]設定!$H50="",INDEX([23]第３表!$F$80:$Q$136,MATCH([23]設定!$D50,[23]第３表!$C$80:$C$136,0),12),[23]設定!$H50))</f>
        <v>5.8</v>
      </c>
    </row>
    <row r="37" spans="2:17" s="8" customFormat="1" ht="17.25" customHeight="1" x14ac:dyDescent="0.45">
      <c r="B37" s="49" t="str">
        <f>+[24]第５表!B37</f>
        <v>E29</v>
      </c>
      <c r="C37" s="50"/>
      <c r="D37" s="65" t="str">
        <f>+[24]第５表!D37</f>
        <v>電気機械器具</v>
      </c>
      <c r="E37" s="55">
        <f>IF($D37="","",IF([23]設定!$H51="",INDEX([23]第３表!$F$80:$Q$136,MATCH([23]設定!$D51,[23]第３表!$C$80:$C$136,0),1),[23]設定!$H51))</f>
        <v>20.8</v>
      </c>
      <c r="F37" s="55">
        <f>IF($D37="","",IF([23]設定!$H51="",INDEX([23]第３表!$F$80:$Q$136,MATCH([23]設定!$D51,[23]第３表!$C$80:$C$136,0),2),[23]設定!$H51))</f>
        <v>170.5</v>
      </c>
      <c r="G37" s="55">
        <f>IF($D37="","",IF([23]設定!$H51="",INDEX([23]第３表!$F$80:$Q$136,MATCH([23]設定!$D51,[23]第３表!$C$80:$C$136,0),3),[23]設定!$H51))</f>
        <v>161.30000000000001</v>
      </c>
      <c r="H37" s="55">
        <f>IF($D37="","",IF([23]設定!$H51="",INDEX([23]第３表!$F$80:$Q$136,MATCH([23]設定!$D51,[23]第３表!$C$80:$C$136,0),4),[23]設定!$H51))</f>
        <v>9.1999999999999993</v>
      </c>
      <c r="I37" s="55">
        <f>IF($D37="","",IF([23]設定!$H51="",INDEX([23]第３表!$F$80:$Q$136,MATCH([23]設定!$D51,[23]第３表!$C$80:$C$136,0),5),[23]設定!$H51))</f>
        <v>21.4</v>
      </c>
      <c r="J37" s="55">
        <f>IF($D37="","",IF([23]設定!$H51="",INDEX([23]第３表!$F$80:$Q$136,MATCH([23]設定!$D51,[23]第３表!$C$80:$C$136,0),6),[23]設定!$H51))</f>
        <v>178.2</v>
      </c>
      <c r="K37" s="55">
        <f>IF($D37="","",IF([23]設定!$H51="",INDEX([23]第３表!$F$80:$Q$136,MATCH([23]設定!$D51,[23]第３表!$C$80:$C$136,0),7),[23]設定!$H51))</f>
        <v>166.8</v>
      </c>
      <c r="L37" s="55">
        <f>IF($D37="","",IF([23]設定!$H51="",INDEX([23]第３表!$F$80:$Q$136,MATCH([23]設定!$D51,[23]第３表!$C$80:$C$136,0),8),[23]設定!$H51))</f>
        <v>11.4</v>
      </c>
      <c r="M37" s="55">
        <f>IF($D37="","",IF([23]設定!$H51="",INDEX([23]第３表!$F$80:$Q$136,MATCH([23]設定!$D51,[23]第３表!$C$80:$C$136,0),9),[23]設定!$H51))</f>
        <v>19.3</v>
      </c>
      <c r="N37" s="55">
        <f>IF($D37="","",IF([23]設定!$H51="",INDEX([23]第３表!$F$80:$Q$136,MATCH([23]設定!$D51,[23]第３表!$C$80:$C$136,0),10),[23]設定!$H51))</f>
        <v>150.80000000000001</v>
      </c>
      <c r="O37" s="55">
        <f>IF($D37="","",IF([23]設定!$H51="",INDEX([23]第３表!$F$80:$Q$136,MATCH([23]設定!$D51,[23]第３表!$C$80:$C$136,0),11),[23]設定!$H51))</f>
        <v>147.1</v>
      </c>
      <c r="P37" s="55">
        <f>IF($D37="","",IF([23]設定!$H51="",INDEX([23]第３表!$F$80:$Q$136,MATCH([23]設定!$D51,[23]第３表!$C$80:$C$136,0),12),[23]設定!$H51))</f>
        <v>3.7</v>
      </c>
    </row>
    <row r="38" spans="2:17" s="8" customFormat="1" ht="17.25" customHeight="1" x14ac:dyDescent="0.45">
      <c r="B38" s="49" t="str">
        <f>+[24]第５表!B38</f>
        <v>E31</v>
      </c>
      <c r="C38" s="50"/>
      <c r="D38" s="65" t="str">
        <f>+[24]第５表!D38</f>
        <v>輸送用機械器具</v>
      </c>
      <c r="E38" s="55">
        <f>IF($D38="","",IF([23]設定!$H52="",INDEX([23]第３表!$F$80:$Q$136,MATCH([23]設定!$D52,[23]第３表!$C$80:$C$136,0),1),[23]設定!$H52))</f>
        <v>17.5</v>
      </c>
      <c r="F38" s="55">
        <f>IF($D38="","",IF([23]設定!$H52="",INDEX([23]第３表!$F$80:$Q$136,MATCH([23]設定!$D52,[23]第３表!$C$80:$C$136,0),2),[23]設定!$H52))</f>
        <v>160</v>
      </c>
      <c r="G38" s="55">
        <f>IF($D38="","",IF([23]設定!$H52="",INDEX([23]第３表!$F$80:$Q$136,MATCH([23]設定!$D52,[23]第３表!$C$80:$C$136,0),3),[23]設定!$H52))</f>
        <v>140.1</v>
      </c>
      <c r="H38" s="55">
        <f>IF($D38="","",IF([23]設定!$H52="",INDEX([23]第３表!$F$80:$Q$136,MATCH([23]設定!$D52,[23]第３表!$C$80:$C$136,0),4),[23]設定!$H52))</f>
        <v>19.899999999999999</v>
      </c>
      <c r="I38" s="55">
        <f>IF($D38="","",IF([23]設定!$H52="",INDEX([23]第３表!$F$80:$Q$136,MATCH([23]設定!$D52,[23]第３表!$C$80:$C$136,0),5),[23]設定!$H52))</f>
        <v>17.7</v>
      </c>
      <c r="J38" s="55">
        <f>IF($D38="","",IF([23]設定!$H52="",INDEX([23]第３表!$F$80:$Q$136,MATCH([23]設定!$D52,[23]第３表!$C$80:$C$136,0),6),[23]設定!$H52))</f>
        <v>165.2</v>
      </c>
      <c r="K38" s="55">
        <f>IF($D38="","",IF([23]設定!$H52="",INDEX([23]第３表!$F$80:$Q$136,MATCH([23]設定!$D52,[23]第３表!$C$80:$C$136,0),7),[23]設定!$H52))</f>
        <v>143.4</v>
      </c>
      <c r="L38" s="55">
        <f>IF($D38="","",IF([23]設定!$H52="",INDEX([23]第３表!$F$80:$Q$136,MATCH([23]設定!$D52,[23]第３表!$C$80:$C$136,0),8),[23]設定!$H52))</f>
        <v>21.8</v>
      </c>
      <c r="M38" s="55">
        <f>IF($D38="","",IF([23]設定!$H52="",INDEX([23]第３表!$F$80:$Q$136,MATCH([23]設定!$D52,[23]第３表!$C$80:$C$136,0),9),[23]設定!$H52))</f>
        <v>16.899999999999999</v>
      </c>
      <c r="N38" s="55">
        <f>IF($D38="","",IF([23]設定!$H52="",INDEX([23]第３表!$F$80:$Q$136,MATCH([23]設定!$D52,[23]第３表!$C$80:$C$136,0),10),[23]設定!$H52))</f>
        <v>140.4</v>
      </c>
      <c r="O38" s="55">
        <f>IF($D38="","",IF([23]設定!$H52="",INDEX([23]第３表!$F$80:$Q$136,MATCH([23]設定!$D52,[23]第３表!$C$80:$C$136,0),11),[23]設定!$H52))</f>
        <v>127.9</v>
      </c>
      <c r="P38" s="55">
        <f>IF($D38="","",IF([23]設定!$H52="",INDEX([23]第３表!$F$80:$Q$136,MATCH([23]設定!$D52,[23]第３表!$C$80:$C$136,0),12),[23]設定!$H52))</f>
        <v>12.5</v>
      </c>
    </row>
    <row r="39" spans="2:17" s="8" customFormat="1" ht="17.25" customHeight="1" x14ac:dyDescent="0.45">
      <c r="B39" s="66" t="str">
        <f>+[24]第５表!B39</f>
        <v>ES</v>
      </c>
      <c r="C39" s="67"/>
      <c r="D39" s="68" t="str">
        <f>+[24]第５表!D39</f>
        <v>はん用・生産用機械器具</v>
      </c>
      <c r="E39" s="69">
        <f>IF($D39="","",IF([23]設定!$H53="",INDEX([23]第３表!$F$80:$Q$136,MATCH([23]設定!$D53,[23]第３表!$C$80:$C$136,0),1),[23]設定!$H53))</f>
        <v>20.6</v>
      </c>
      <c r="F39" s="69">
        <f>IF($D39="","",IF([23]設定!$H53="",INDEX([23]第３表!$F$80:$Q$136,MATCH([23]設定!$D53,[23]第３表!$C$80:$C$136,0),2),[23]設定!$H53))</f>
        <v>182.5</v>
      </c>
      <c r="G39" s="69">
        <f>IF($D39="","",IF([23]設定!$H53="",INDEX([23]第３表!$F$80:$Q$136,MATCH([23]設定!$D53,[23]第３表!$C$80:$C$136,0),3),[23]設定!$H53))</f>
        <v>155.6</v>
      </c>
      <c r="H39" s="69">
        <f>IF($D39="","",IF([23]設定!$H53="",INDEX([23]第３表!$F$80:$Q$136,MATCH([23]設定!$D53,[23]第３表!$C$80:$C$136,0),4),[23]設定!$H53))</f>
        <v>26.9</v>
      </c>
      <c r="I39" s="69">
        <f>IF($D39="","",IF([23]設定!$H53="",INDEX([23]第３表!$F$80:$Q$136,MATCH([23]設定!$D53,[23]第３表!$C$80:$C$136,0),5),[23]設定!$H53))</f>
        <v>21.1</v>
      </c>
      <c r="J39" s="69">
        <f>IF($D39="","",IF([23]設定!$H53="",INDEX([23]第３表!$F$80:$Q$136,MATCH([23]設定!$D53,[23]第３表!$C$80:$C$136,0),6),[23]設定!$H53))</f>
        <v>192.4</v>
      </c>
      <c r="K39" s="69">
        <f>IF($D39="","",IF([23]設定!$H53="",INDEX([23]第３表!$F$80:$Q$136,MATCH([23]設定!$D53,[23]第３表!$C$80:$C$136,0),7),[23]設定!$H53))</f>
        <v>159.5</v>
      </c>
      <c r="L39" s="69">
        <f>IF($D39="","",IF([23]設定!$H53="",INDEX([23]第３表!$F$80:$Q$136,MATCH([23]設定!$D53,[23]第３表!$C$80:$C$136,0),8),[23]設定!$H53))</f>
        <v>32.9</v>
      </c>
      <c r="M39" s="69">
        <f>IF($D39="","",IF([23]設定!$H53="",INDEX([23]第３表!$F$80:$Q$136,MATCH([23]設定!$D53,[23]第３表!$C$80:$C$136,0),9),[23]設定!$H53))</f>
        <v>19.3</v>
      </c>
      <c r="N39" s="69">
        <f>IF($D39="","",IF([23]設定!$H53="",INDEX([23]第３表!$F$80:$Q$136,MATCH([23]設定!$D53,[23]第３表!$C$80:$C$136,0),10),[23]設定!$H53))</f>
        <v>152.80000000000001</v>
      </c>
      <c r="O39" s="69">
        <f>IF($D39="","",IF([23]設定!$H53="",INDEX([23]第３表!$F$80:$Q$136,MATCH([23]設定!$D53,[23]第３表!$C$80:$C$136,0),11),[23]設定!$H53))</f>
        <v>144.1</v>
      </c>
      <c r="P39" s="69">
        <f>IF($D39="","",IF([23]設定!$H53="",INDEX([23]第３表!$F$80:$Q$136,MATCH([23]設定!$D53,[23]第３表!$C$80:$C$136,0),12),[23]設定!$H53))</f>
        <v>8.6999999999999993</v>
      </c>
    </row>
    <row r="40" spans="2:17" s="8" customFormat="1" ht="16.2" customHeight="1" x14ac:dyDescent="0.45">
      <c r="B40" s="70" t="str">
        <f>+[24]第５表!B40</f>
        <v>R91</v>
      </c>
      <c r="C40" s="71"/>
      <c r="D40" s="72" t="str">
        <f>+[24]第５表!D40</f>
        <v>職業紹介・労働者派遣業</v>
      </c>
      <c r="E40" s="73">
        <f>IF($D40="","",IF([23]設定!$H54="",INDEX([23]第３表!$F$80:$Q$136,MATCH([23]設定!$D54,[23]第３表!$C$80:$C$136,0),1),[23]設定!$H54))</f>
        <v>18.5</v>
      </c>
      <c r="F40" s="73">
        <f>IF($D40="","",IF([23]設定!$H54="",INDEX([23]第３表!$F$80:$Q$136,MATCH([23]設定!$D54,[23]第３表!$C$80:$C$136,0),2),[23]設定!$H54))</f>
        <v>150.69999999999999</v>
      </c>
      <c r="G40" s="73">
        <f>IF($D40="","",IF([23]設定!$H54="",INDEX([23]第３表!$F$80:$Q$136,MATCH([23]設定!$D54,[23]第３表!$C$80:$C$136,0),3),[23]設定!$H54))</f>
        <v>142.4</v>
      </c>
      <c r="H40" s="73">
        <f>IF($D40="","",IF([23]設定!$H54="",INDEX([23]第３表!$F$80:$Q$136,MATCH([23]設定!$D54,[23]第３表!$C$80:$C$136,0),4),[23]設定!$H54))</f>
        <v>8.3000000000000007</v>
      </c>
      <c r="I40" s="73">
        <f>IF($D40="","",IF([23]設定!$H54="",INDEX([23]第３表!$F$80:$Q$136,MATCH([23]設定!$D54,[23]第３表!$C$80:$C$136,0),5),[23]設定!$H54))</f>
        <v>18.8</v>
      </c>
      <c r="J40" s="73">
        <f>IF($D40="","",IF([23]設定!$H54="",INDEX([23]第３表!$F$80:$Q$136,MATCH([23]設定!$D54,[23]第３表!$C$80:$C$136,0),6),[23]設定!$H54))</f>
        <v>164.4</v>
      </c>
      <c r="K40" s="73">
        <f>IF($D40="","",IF([23]設定!$H54="",INDEX([23]第３表!$F$80:$Q$136,MATCH([23]設定!$D54,[23]第３表!$C$80:$C$136,0),7),[23]設定!$H54))</f>
        <v>152.30000000000001</v>
      </c>
      <c r="L40" s="73">
        <f>IF($D40="","",IF([23]設定!$H54="",INDEX([23]第３表!$F$80:$Q$136,MATCH([23]設定!$D54,[23]第３表!$C$80:$C$136,0),8),[23]設定!$H54))</f>
        <v>12.1</v>
      </c>
      <c r="M40" s="73">
        <f>IF($D40="","",IF([23]設定!$H54="",INDEX([23]第３表!$F$80:$Q$136,MATCH([23]設定!$D54,[23]第３表!$C$80:$C$136,0),9),[23]設定!$H54))</f>
        <v>18.2</v>
      </c>
      <c r="N40" s="73">
        <f>IF($D40="","",IF([23]設定!$H54="",INDEX([23]第３表!$F$80:$Q$136,MATCH([23]設定!$D54,[23]第３表!$C$80:$C$136,0),10),[23]設定!$H54))</f>
        <v>138.69999999999999</v>
      </c>
      <c r="O40" s="73">
        <f>IF($D40="","",IF([23]設定!$H54="",INDEX([23]第３表!$F$80:$Q$136,MATCH([23]設定!$D54,[23]第３表!$C$80:$C$136,0),11),[23]設定!$H54))</f>
        <v>133.80000000000001</v>
      </c>
      <c r="P40" s="73">
        <f>IF($D40="","",IF([23]設定!$H54="",INDEX([23]第３表!$F$80:$Q$136,MATCH([23]設定!$D54,[23]第３表!$C$80:$C$136,0),12),[23]設定!$H54))</f>
        <v>4.9000000000000004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IF($D47="","",IF([23]設定!$I23="",INDEX([23]第３表!$F$10:$Q$66,MATCH([23]設定!$D23,[23]第３表!$C$10:$C$66,0),1),[23]設定!$I23))</f>
        <v>18.600000000000001</v>
      </c>
      <c r="F47" s="48">
        <f>IF($D47="","",IF([23]設定!$I23="",INDEX([23]第３表!$F$10:$Q$66,MATCH([23]設定!$D23,[23]第３表!$C$10:$C$66,0),2),[23]設定!$I23))</f>
        <v>145.19999999999999</v>
      </c>
      <c r="G47" s="48">
        <f>IF($D47="","",IF([23]設定!$I23="",INDEX([23]第３表!$F$10:$Q$66,MATCH([23]設定!$D23,[23]第３表!$C$10:$C$66,0),3),[23]設定!$I23))</f>
        <v>134.69999999999999</v>
      </c>
      <c r="H47" s="48">
        <f>IF($D47="","",IF([23]設定!$I23="",INDEX([23]第３表!$F$10:$Q$66,MATCH([23]設定!$D23,[23]第３表!$C$10:$C$66,0),4),[23]設定!$I23))</f>
        <v>10.5</v>
      </c>
      <c r="I47" s="48">
        <f>IF($D47="","",IF([23]設定!$I23="",INDEX([23]第３表!$F$10:$Q$66,MATCH([23]設定!$D23,[23]第３表!$C$10:$C$66,0),5),[23]設定!$I23))</f>
        <v>19.2</v>
      </c>
      <c r="J47" s="48">
        <f>IF($D47="","",IF([23]設定!$I23="",INDEX([23]第３表!$F$10:$Q$66,MATCH([23]設定!$D23,[23]第３表!$C$10:$C$66,0),6),[23]設定!$I23))</f>
        <v>159.1</v>
      </c>
      <c r="K47" s="48">
        <f>IF($D47="","",IF([23]設定!$I23="",INDEX([23]第３表!$F$10:$Q$66,MATCH([23]設定!$D23,[23]第３表!$C$10:$C$66,0),7),[23]設定!$I23))</f>
        <v>144.1</v>
      </c>
      <c r="L47" s="48">
        <f>IF($D47="","",IF([23]設定!$I23="",INDEX([23]第３表!$F$10:$Q$66,MATCH([23]設定!$D23,[23]第３表!$C$10:$C$66,0),8),[23]設定!$I23))</f>
        <v>15</v>
      </c>
      <c r="M47" s="48">
        <f>IF($D47="","",IF([23]設定!$I23="",INDEX([23]第３表!$F$10:$Q$66,MATCH([23]設定!$D23,[23]第３表!$C$10:$C$66,0),9),[23]設定!$I23))</f>
        <v>18.100000000000001</v>
      </c>
      <c r="N47" s="48">
        <f>IF($D47="","",IF([23]設定!$I23="",INDEX([23]第３表!$F$10:$Q$66,MATCH([23]設定!$D23,[23]第３表!$C$10:$C$66,0),10),[23]設定!$I23))</f>
        <v>131.69999999999999</v>
      </c>
      <c r="O47" s="48">
        <f>IF($D47="","",IF([23]設定!$I23="",INDEX([23]第３表!$F$10:$Q$66,MATCH([23]設定!$D23,[23]第３表!$C$10:$C$66,0),11),[23]設定!$I23))</f>
        <v>125.6</v>
      </c>
      <c r="P47" s="48">
        <f>IF($D47="","",IF([23]設定!$I23="",INDEX([23]第３表!$F$10:$Q$66,MATCH([23]設定!$D23,[23]第３表!$C$10:$C$66,0),12),[23]設定!$I23))</f>
        <v>6.1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IF($D48="","",IF([23]設定!$I24="",INDEX([23]第３表!$F$10:$Q$66,MATCH([23]設定!$D24,[23]第３表!$C$10:$C$66,0),1),[23]設定!$I24))</f>
        <v>21.2</v>
      </c>
      <c r="F48" s="52">
        <f>IF($D48="","",IF([23]設定!$I24="",INDEX([23]第３表!$F$10:$Q$66,MATCH([23]設定!$D24,[23]第３表!$C$10:$C$66,0),2),[23]設定!$I24))</f>
        <v>172.7</v>
      </c>
      <c r="G48" s="52">
        <f>IF($D48="","",IF([23]設定!$I24="",INDEX([23]第３表!$F$10:$Q$66,MATCH([23]設定!$D24,[23]第３表!$C$10:$C$66,0),3),[23]設定!$I24))</f>
        <v>159</v>
      </c>
      <c r="H48" s="53">
        <f>IF($D48="","",IF([23]設定!$I24="",INDEX([23]第３表!$F$10:$Q$66,MATCH([23]設定!$D24,[23]第３表!$C$10:$C$66,0),4),[23]設定!$I24))</f>
        <v>13.7</v>
      </c>
      <c r="I48" s="54">
        <f>IF($D48="","",IF([23]設定!$I24="",INDEX([23]第３表!$F$10:$Q$66,MATCH([23]設定!$D24,[23]第３表!$C$10:$C$66,0),5),[23]設定!$I24))</f>
        <v>21.4</v>
      </c>
      <c r="J48" s="54">
        <f>IF($D48="","",IF([23]設定!$I24="",INDEX([23]第３表!$F$10:$Q$66,MATCH([23]設定!$D24,[23]第３表!$C$10:$C$66,0),6),[23]設定!$I24))</f>
        <v>174.8</v>
      </c>
      <c r="K48" s="54">
        <f>IF($D48="","",IF([23]設定!$I24="",INDEX([23]第３表!$F$10:$Q$66,MATCH([23]設定!$D24,[23]第３表!$C$10:$C$66,0),7),[23]設定!$I24))</f>
        <v>159.1</v>
      </c>
      <c r="L48" s="55">
        <f>IF($D48="","",IF([23]設定!$I24="",INDEX([23]第３表!$F$10:$Q$66,MATCH([23]設定!$D24,[23]第３表!$C$10:$C$66,0),8),[23]設定!$I24))</f>
        <v>15.7</v>
      </c>
      <c r="M48" s="56">
        <f>IF($D48="","",IF([23]設定!$I24="",INDEX([23]第３表!$F$10:$Q$66,MATCH([23]設定!$D24,[23]第３表!$C$10:$C$66,0),9),[23]設定!$I24))</f>
        <v>20.6</v>
      </c>
      <c r="N48" s="56">
        <f>IF($D48="","",IF([23]設定!$I24="",INDEX([23]第３表!$F$10:$Q$66,MATCH([23]設定!$D24,[23]第３表!$C$10:$C$66,0),10),[23]設定!$I24))</f>
        <v>163.69999999999999</v>
      </c>
      <c r="O48" s="56">
        <f>IF($D48="","",IF([23]設定!$I24="",INDEX([23]第３表!$F$10:$Q$66,MATCH([23]設定!$D24,[23]第３表!$C$10:$C$66,0),11),[23]設定!$I24))</f>
        <v>158.9</v>
      </c>
      <c r="P48" s="57">
        <f>IF($D48="","",IF([23]設定!$I24="",INDEX([23]第３表!$F$10:$Q$66,MATCH([23]設定!$D24,[23]第３表!$C$10:$C$66,0),12),[23]設定!$I24))</f>
        <v>4.8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IF($D49="","",IF([23]設定!$I25="",INDEX([23]第３表!$F$10:$Q$66,MATCH([23]設定!$D25,[23]第３表!$C$10:$C$66,0),1),[23]設定!$I25))</f>
        <v>19.8</v>
      </c>
      <c r="F49" s="52">
        <f>IF($D49="","",IF([23]設定!$I25="",INDEX([23]第３表!$F$10:$Q$66,MATCH([23]設定!$D25,[23]第３表!$C$10:$C$66,0),2),[23]設定!$I25))</f>
        <v>163.1</v>
      </c>
      <c r="G49" s="52">
        <f>IF($D49="","",IF([23]設定!$I25="",INDEX([23]第３表!$F$10:$Q$66,MATCH([23]設定!$D25,[23]第３表!$C$10:$C$66,0),3),[23]設定!$I25))</f>
        <v>149.6</v>
      </c>
      <c r="H49" s="53">
        <f>IF($D49="","",IF([23]設定!$I25="",INDEX([23]第３表!$F$10:$Q$66,MATCH([23]設定!$D25,[23]第３表!$C$10:$C$66,0),4),[23]設定!$I25))</f>
        <v>13.5</v>
      </c>
      <c r="I49" s="54">
        <f>IF($D49="","",IF([23]設定!$I25="",INDEX([23]第３表!$F$10:$Q$66,MATCH([23]設定!$D25,[23]第３表!$C$10:$C$66,0),5),[23]設定!$I25))</f>
        <v>19.899999999999999</v>
      </c>
      <c r="J49" s="54">
        <f>IF($D49="","",IF([23]設定!$I25="",INDEX([23]第３表!$F$10:$Q$66,MATCH([23]設定!$D25,[23]第３表!$C$10:$C$66,0),6),[23]設定!$I25))</f>
        <v>169.6</v>
      </c>
      <c r="K49" s="54">
        <f>IF($D49="","",IF([23]設定!$I25="",INDEX([23]第３表!$F$10:$Q$66,MATCH([23]設定!$D25,[23]第３表!$C$10:$C$66,0),7),[23]設定!$I25))</f>
        <v>153</v>
      </c>
      <c r="L49" s="55">
        <f>IF($D49="","",IF([23]設定!$I25="",INDEX([23]第３表!$F$10:$Q$66,MATCH([23]設定!$D25,[23]第３表!$C$10:$C$66,0),8),[23]設定!$I25))</f>
        <v>16.600000000000001</v>
      </c>
      <c r="M49" s="56">
        <f>IF($D49="","",IF([23]設定!$I25="",INDEX([23]第３表!$F$10:$Q$66,MATCH([23]設定!$D25,[23]第３表!$C$10:$C$66,0),9),[23]設定!$I25))</f>
        <v>19.7</v>
      </c>
      <c r="N49" s="56">
        <f>IF($D49="","",IF([23]設定!$I25="",INDEX([23]第３表!$F$10:$Q$66,MATCH([23]設定!$D25,[23]第３表!$C$10:$C$66,0),10),[23]設定!$I25))</f>
        <v>152.4</v>
      </c>
      <c r="O49" s="56">
        <f>IF($D49="","",IF([23]設定!$I25="",INDEX([23]第３表!$F$10:$Q$66,MATCH([23]設定!$D25,[23]第３表!$C$10:$C$66,0),11),[23]設定!$I25))</f>
        <v>143.9</v>
      </c>
      <c r="P49" s="57">
        <f>IF($D49="","",IF([23]設定!$I25="",INDEX([23]第３表!$F$10:$Q$66,MATCH([23]設定!$D25,[23]第３表!$C$10:$C$66,0),12),[23]設定!$I25))</f>
        <v>8.5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IF($D50="","",IF([23]設定!$I26="",INDEX([23]第３表!$F$10:$Q$66,MATCH([23]設定!$D26,[23]第３表!$C$10:$C$66,0),1),[23]設定!$I26))</f>
        <v>17.7</v>
      </c>
      <c r="F50" s="52">
        <f>IF($D50="","",IF([23]設定!$I26="",INDEX([23]第３表!$F$10:$Q$66,MATCH([23]設定!$D26,[23]第３表!$C$10:$C$66,0),2),[23]設定!$I26))</f>
        <v>150.5</v>
      </c>
      <c r="G50" s="52">
        <f>IF($D50="","",IF([23]設定!$I26="",INDEX([23]第３表!$F$10:$Q$66,MATCH([23]設定!$D26,[23]第３表!$C$10:$C$66,0),3),[23]設定!$I26))</f>
        <v>138.4</v>
      </c>
      <c r="H50" s="53">
        <f>IF($D50="","",IF([23]設定!$I26="",INDEX([23]第３表!$F$10:$Q$66,MATCH([23]設定!$D26,[23]第３表!$C$10:$C$66,0),4),[23]設定!$I26))</f>
        <v>12.1</v>
      </c>
      <c r="I50" s="54">
        <f>IF($D50="","",IF([23]設定!$I26="",INDEX([23]第３表!$F$10:$Q$66,MATCH([23]設定!$D26,[23]第３表!$C$10:$C$66,0),5),[23]設定!$I26))</f>
        <v>17.8</v>
      </c>
      <c r="J50" s="54">
        <f>IF($D50="","",IF([23]設定!$I26="",INDEX([23]第３表!$F$10:$Q$66,MATCH([23]設定!$D26,[23]第３表!$C$10:$C$66,0),6),[23]設定!$I26))</f>
        <v>154.19999999999999</v>
      </c>
      <c r="K50" s="54">
        <f>IF($D50="","",IF([23]設定!$I26="",INDEX([23]第３表!$F$10:$Q$66,MATCH([23]設定!$D26,[23]第３表!$C$10:$C$66,0),7),[23]設定!$I26))</f>
        <v>140.80000000000001</v>
      </c>
      <c r="L50" s="55">
        <f>IF($D50="","",IF([23]設定!$I26="",INDEX([23]第３表!$F$10:$Q$66,MATCH([23]設定!$D26,[23]第３表!$C$10:$C$66,0),8),[23]設定!$I26))</f>
        <v>13.4</v>
      </c>
      <c r="M50" s="56">
        <f>IF($D50="","",IF([23]設定!$I26="",INDEX([23]第３表!$F$10:$Q$66,MATCH([23]設定!$D26,[23]第３表!$C$10:$C$66,0),9),[23]設定!$I26))</f>
        <v>17.3</v>
      </c>
      <c r="N50" s="56">
        <f>IF($D50="","",IF([23]設定!$I26="",INDEX([23]第３表!$F$10:$Q$66,MATCH([23]設定!$D26,[23]第３表!$C$10:$C$66,0),10),[23]設定!$I26))</f>
        <v>125.4</v>
      </c>
      <c r="O50" s="56">
        <f>IF($D50="","",IF([23]設定!$I26="",INDEX([23]第３表!$F$10:$Q$66,MATCH([23]設定!$D26,[23]第３表!$C$10:$C$66,0),11),[23]設定!$I26))</f>
        <v>121.7</v>
      </c>
      <c r="P50" s="57">
        <f>IF($D50="","",IF([23]設定!$I26="",INDEX([23]第３表!$F$10:$Q$66,MATCH([23]設定!$D26,[23]第３表!$C$10:$C$66,0),12),[23]設定!$I26))</f>
        <v>3.7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IF($D51="","",IF([23]設定!$I27="",INDEX([23]第３表!$F$10:$Q$66,MATCH([23]設定!$D27,[23]第３表!$C$10:$C$66,0),1),[23]設定!$I27))</f>
        <v>19</v>
      </c>
      <c r="F51" s="52">
        <f>IF($D51="","",IF([23]設定!$I27="",INDEX([23]第３表!$F$10:$Q$66,MATCH([23]設定!$D27,[23]第３表!$C$10:$C$66,0),2),[23]設定!$I27))</f>
        <v>154.69999999999999</v>
      </c>
      <c r="G51" s="52">
        <f>IF($D51="","",IF([23]設定!$I27="",INDEX([23]第３表!$F$10:$Q$66,MATCH([23]設定!$D27,[23]第３表!$C$10:$C$66,0),3),[23]設定!$I27))</f>
        <v>142</v>
      </c>
      <c r="H51" s="53">
        <f>IF($D51="","",IF([23]設定!$I27="",INDEX([23]第３表!$F$10:$Q$66,MATCH([23]設定!$D27,[23]第３表!$C$10:$C$66,0),4),[23]設定!$I27))</f>
        <v>12.7</v>
      </c>
      <c r="I51" s="54">
        <f>IF($D51="","",IF([23]設定!$I27="",INDEX([23]第３表!$F$10:$Q$66,MATCH([23]設定!$D27,[23]第３表!$C$10:$C$66,0),5),[23]設定!$I27))</f>
        <v>19.100000000000001</v>
      </c>
      <c r="J51" s="54">
        <f>IF($D51="","",IF([23]設定!$I27="",INDEX([23]第３表!$F$10:$Q$66,MATCH([23]設定!$D27,[23]第３表!$C$10:$C$66,0),6),[23]設定!$I27))</f>
        <v>156.5</v>
      </c>
      <c r="K51" s="54">
        <f>IF($D51="","",IF([23]設定!$I27="",INDEX([23]第３表!$F$10:$Q$66,MATCH([23]設定!$D27,[23]第３表!$C$10:$C$66,0),7),[23]設定!$I27))</f>
        <v>143.80000000000001</v>
      </c>
      <c r="L51" s="55">
        <f>IF($D51="","",IF([23]設定!$I27="",INDEX([23]第３表!$F$10:$Q$66,MATCH([23]設定!$D27,[23]第３表!$C$10:$C$66,0),8),[23]設定!$I27))</f>
        <v>12.7</v>
      </c>
      <c r="M51" s="56">
        <f>IF($D51="","",IF([23]設定!$I27="",INDEX([23]第３表!$F$10:$Q$66,MATCH([23]設定!$D27,[23]第３表!$C$10:$C$66,0),9),[23]設定!$I27))</f>
        <v>18.7</v>
      </c>
      <c r="N51" s="56">
        <f>IF($D51="","",IF([23]設定!$I27="",INDEX([23]第３表!$F$10:$Q$66,MATCH([23]設定!$D27,[23]第３表!$C$10:$C$66,0),10),[23]設定!$I27))</f>
        <v>150.9</v>
      </c>
      <c r="O51" s="56">
        <f>IF($D51="","",IF([23]設定!$I27="",INDEX([23]第３表!$F$10:$Q$66,MATCH([23]設定!$D27,[23]第３表!$C$10:$C$66,0),11),[23]設定!$I27))</f>
        <v>138.19999999999999</v>
      </c>
      <c r="P51" s="57">
        <f>IF($D51="","",IF([23]設定!$I27="",INDEX([23]第３表!$F$10:$Q$66,MATCH([23]設定!$D27,[23]第３表!$C$10:$C$66,0),12),[23]設定!$I27))</f>
        <v>12.7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IF($D52="","",IF([23]設定!$I28="",INDEX([23]第３表!$F$10:$Q$66,MATCH([23]設定!$D28,[23]第３表!$C$10:$C$66,0),1),[23]設定!$I28))</f>
        <v>21</v>
      </c>
      <c r="F52" s="52">
        <f>IF($D52="","",IF([23]設定!$I28="",INDEX([23]第３表!$F$10:$Q$66,MATCH([23]設定!$D28,[23]第３表!$C$10:$C$66,0),2),[23]設定!$I28))</f>
        <v>185.5</v>
      </c>
      <c r="G52" s="52">
        <f>IF($D52="","",IF([23]設定!$I28="",INDEX([23]第３表!$F$10:$Q$66,MATCH([23]設定!$D28,[23]第３表!$C$10:$C$66,0),3),[23]設定!$I28))</f>
        <v>158.6</v>
      </c>
      <c r="H52" s="53">
        <f>IF($D52="","",IF([23]設定!$I28="",INDEX([23]第３表!$F$10:$Q$66,MATCH([23]設定!$D28,[23]第３表!$C$10:$C$66,0),4),[23]設定!$I28))</f>
        <v>26.9</v>
      </c>
      <c r="I52" s="54">
        <f>IF($D52="","",IF([23]設定!$I28="",INDEX([23]第３表!$F$10:$Q$66,MATCH([23]設定!$D28,[23]第３表!$C$10:$C$66,0),5),[23]設定!$I28))</f>
        <v>21.2</v>
      </c>
      <c r="J52" s="54">
        <f>IF($D52="","",IF([23]設定!$I28="",INDEX([23]第３表!$F$10:$Q$66,MATCH([23]設定!$D28,[23]第３表!$C$10:$C$66,0),6),[23]設定!$I28))</f>
        <v>192.1</v>
      </c>
      <c r="K52" s="54">
        <f>IF($D52="","",IF([23]設定!$I28="",INDEX([23]第３表!$F$10:$Q$66,MATCH([23]設定!$D28,[23]第３表!$C$10:$C$66,0),7),[23]設定!$I28))</f>
        <v>161.6</v>
      </c>
      <c r="L52" s="55">
        <f>IF($D52="","",IF([23]設定!$I28="",INDEX([23]第３表!$F$10:$Q$66,MATCH([23]設定!$D28,[23]第３表!$C$10:$C$66,0),8),[23]設定!$I28))</f>
        <v>30.5</v>
      </c>
      <c r="M52" s="56">
        <f>IF($D52="","",IF([23]設定!$I28="",INDEX([23]第３表!$F$10:$Q$66,MATCH([23]設定!$D28,[23]第３表!$C$10:$C$66,0),9),[23]設定!$I28))</f>
        <v>19.899999999999999</v>
      </c>
      <c r="N52" s="56">
        <f>IF($D52="","",IF([23]設定!$I28="",INDEX([23]第３表!$F$10:$Q$66,MATCH([23]設定!$D28,[23]第３表!$C$10:$C$66,0),10),[23]設定!$I28))</f>
        <v>149</v>
      </c>
      <c r="O52" s="56">
        <f>IF($D52="","",IF([23]設定!$I28="",INDEX([23]第３表!$F$10:$Q$66,MATCH([23]設定!$D28,[23]第３表!$C$10:$C$66,0),11),[23]設定!$I28))</f>
        <v>141.9</v>
      </c>
      <c r="P52" s="57">
        <f>IF($D52="","",IF([23]設定!$I28="",INDEX([23]第３表!$F$10:$Q$66,MATCH([23]設定!$D28,[23]第３表!$C$10:$C$66,0),12),[23]設定!$I28))</f>
        <v>7.1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IF($D53="","",IF([23]設定!$I29="",INDEX([23]第３表!$F$10:$Q$66,MATCH([23]設定!$D29,[23]第３表!$C$10:$C$66,0),1),[23]設定!$I29))</f>
        <v>17.899999999999999</v>
      </c>
      <c r="F53" s="52">
        <f>IF($D53="","",IF([23]設定!$I29="",INDEX([23]第３表!$F$10:$Q$66,MATCH([23]設定!$D29,[23]第３表!$C$10:$C$66,0),2),[23]設定!$I29))</f>
        <v>125.4</v>
      </c>
      <c r="G53" s="52">
        <f>IF($D53="","",IF([23]設定!$I29="",INDEX([23]第３表!$F$10:$Q$66,MATCH([23]設定!$D29,[23]第３表!$C$10:$C$66,0),3),[23]設定!$I29))</f>
        <v>118.5</v>
      </c>
      <c r="H53" s="53">
        <f>IF($D53="","",IF([23]設定!$I29="",INDEX([23]第３表!$F$10:$Q$66,MATCH([23]設定!$D29,[23]第３表!$C$10:$C$66,0),4),[23]設定!$I29))</f>
        <v>6.9</v>
      </c>
      <c r="I53" s="54">
        <f>IF($D53="","",IF([23]設定!$I29="",INDEX([23]第３表!$F$10:$Q$66,MATCH([23]設定!$D29,[23]第３表!$C$10:$C$66,0),5),[23]設定!$I29))</f>
        <v>19.100000000000001</v>
      </c>
      <c r="J53" s="54">
        <f>IF($D53="","",IF([23]設定!$I29="",INDEX([23]第３表!$F$10:$Q$66,MATCH([23]設定!$D29,[23]第３表!$C$10:$C$66,0),6),[23]設定!$I29))</f>
        <v>150.5</v>
      </c>
      <c r="K53" s="54">
        <f>IF($D53="","",IF([23]設定!$I29="",INDEX([23]第３表!$F$10:$Q$66,MATCH([23]設定!$D29,[23]第３表!$C$10:$C$66,0),7),[23]設定!$I29))</f>
        <v>138.9</v>
      </c>
      <c r="L53" s="55">
        <f>IF($D53="","",IF([23]設定!$I29="",INDEX([23]第３表!$F$10:$Q$66,MATCH([23]設定!$D29,[23]第３表!$C$10:$C$66,0),8),[23]設定!$I29))</f>
        <v>11.6</v>
      </c>
      <c r="M53" s="56">
        <f>IF($D53="","",IF([23]設定!$I29="",INDEX([23]第３表!$F$10:$Q$66,MATCH([23]設定!$D29,[23]第３表!$C$10:$C$66,0),9),[23]設定!$I29))</f>
        <v>17.100000000000001</v>
      </c>
      <c r="N53" s="56">
        <f>IF($D53="","",IF([23]設定!$I29="",INDEX([23]第３表!$F$10:$Q$66,MATCH([23]設定!$D29,[23]第３表!$C$10:$C$66,0),10),[23]設定!$I29))</f>
        <v>108.7</v>
      </c>
      <c r="O53" s="56">
        <f>IF($D53="","",IF([23]設定!$I29="",INDEX([23]第３表!$F$10:$Q$66,MATCH([23]設定!$D29,[23]第３表!$C$10:$C$66,0),11),[23]設定!$I29))</f>
        <v>104.9</v>
      </c>
      <c r="P53" s="57">
        <f>IF($D53="","",IF([23]設定!$I29="",INDEX([23]第３表!$F$10:$Q$66,MATCH([23]設定!$D29,[23]第３表!$C$10:$C$66,0),12),[23]設定!$I29))</f>
        <v>3.8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>
        <f>IF($D54="","",IF([23]設定!$I30="",INDEX([23]第３表!$F$10:$Q$66,MATCH([23]設定!$D30,[23]第３表!$C$10:$C$66,0),1),[23]設定!$I30))</f>
        <v>18.100000000000001</v>
      </c>
      <c r="F54" s="52">
        <f>IF($D54="","",IF([23]設定!$I30="",INDEX([23]第３表!$F$10:$Q$66,MATCH([23]設定!$D30,[23]第３表!$C$10:$C$66,0),2),[23]設定!$I30))</f>
        <v>131</v>
      </c>
      <c r="G54" s="52">
        <f>IF($D54="","",IF([23]設定!$I30="",INDEX([23]第３表!$F$10:$Q$66,MATCH([23]設定!$D30,[23]第３表!$C$10:$C$66,0),3),[23]設定!$I30))</f>
        <v>127.2</v>
      </c>
      <c r="H54" s="53">
        <f>IF($D54="","",IF([23]設定!$I30="",INDEX([23]第３表!$F$10:$Q$66,MATCH([23]設定!$D30,[23]第３表!$C$10:$C$66,0),4),[23]設定!$I30))</f>
        <v>3.8</v>
      </c>
      <c r="I54" s="54">
        <f>IF($D54="","",IF([23]設定!$I30="",INDEX([23]第３表!$F$10:$Q$66,MATCH([23]設定!$D30,[23]第３表!$C$10:$C$66,0),5),[23]設定!$I30))</f>
        <v>18.100000000000001</v>
      </c>
      <c r="J54" s="54">
        <f>IF($D54="","",IF([23]設定!$I30="",INDEX([23]第３表!$F$10:$Q$66,MATCH([23]設定!$D30,[23]第３表!$C$10:$C$66,0),6),[23]設定!$I30))</f>
        <v>132.5</v>
      </c>
      <c r="K54" s="54">
        <f>IF($D54="","",IF([23]設定!$I30="",INDEX([23]第３表!$F$10:$Q$66,MATCH([23]設定!$D30,[23]第３表!$C$10:$C$66,0),7),[23]設定!$I30))</f>
        <v>130.4</v>
      </c>
      <c r="L54" s="55">
        <f>IF($D54="","",IF([23]設定!$I30="",INDEX([23]第３表!$F$10:$Q$66,MATCH([23]設定!$D30,[23]第３表!$C$10:$C$66,0),8),[23]設定!$I30))</f>
        <v>2.1</v>
      </c>
      <c r="M54" s="56">
        <f>IF($D54="","",IF([23]設定!$I30="",INDEX([23]第３表!$F$10:$Q$66,MATCH([23]設定!$D30,[23]第３表!$C$10:$C$66,0),9),[23]設定!$I30))</f>
        <v>18.2</v>
      </c>
      <c r="N54" s="56">
        <f>IF($D54="","",IF([23]設定!$I30="",INDEX([23]第３表!$F$10:$Q$66,MATCH([23]設定!$D30,[23]第３表!$C$10:$C$66,0),10),[23]設定!$I30))</f>
        <v>129.9</v>
      </c>
      <c r="O54" s="56">
        <f>IF($D54="","",IF([23]設定!$I30="",INDEX([23]第３表!$F$10:$Q$66,MATCH([23]設定!$D30,[23]第３表!$C$10:$C$66,0),11),[23]設定!$I30))</f>
        <v>124.7</v>
      </c>
      <c r="P54" s="57">
        <f>IF($D54="","",IF([23]設定!$I30="",INDEX([23]第３表!$F$10:$Q$66,MATCH([23]設定!$D30,[23]第３表!$C$10:$C$66,0),12),[23]設定!$I30))</f>
        <v>5.2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IF($D55="","",IF([23]設定!$I31="",INDEX([23]第３表!$F$10:$Q$66,MATCH([23]設定!$D31,[23]第３表!$C$10:$C$66,0),1),[23]設定!$I31))</f>
        <v>18.399999999999999</v>
      </c>
      <c r="F55" s="52">
        <f>IF($D55="","",IF([23]設定!$I31="",INDEX([23]第３表!$F$10:$Q$66,MATCH([23]設定!$D31,[23]第３表!$C$10:$C$66,0),2),[23]設定!$I31))</f>
        <v>138.9</v>
      </c>
      <c r="G55" s="52">
        <f>IF($D55="","",IF([23]設定!$I31="",INDEX([23]第３表!$F$10:$Q$66,MATCH([23]設定!$D31,[23]第３表!$C$10:$C$66,0),3),[23]設定!$I31))</f>
        <v>135.5</v>
      </c>
      <c r="H55" s="52">
        <f>IF($D55="","",IF([23]設定!$I31="",INDEX([23]第３表!$F$10:$Q$66,MATCH([23]設定!$D31,[23]第３表!$C$10:$C$66,0),4),[23]設定!$I31))</f>
        <v>3.4</v>
      </c>
      <c r="I55" s="54">
        <f>IF($D55="","",IF([23]設定!$I31="",INDEX([23]第３表!$F$10:$Q$66,MATCH([23]設定!$D31,[23]第３表!$C$10:$C$66,0),5),[23]設定!$I31))</f>
        <v>18.8</v>
      </c>
      <c r="J55" s="54">
        <f>IF($D55="","",IF([23]設定!$I31="",INDEX([23]第３表!$F$10:$Q$66,MATCH([23]設定!$D31,[23]第３表!$C$10:$C$66,0),6),[23]設定!$I31))</f>
        <v>151.6</v>
      </c>
      <c r="K55" s="54">
        <f>IF($D55="","",IF([23]設定!$I31="",INDEX([23]第３表!$F$10:$Q$66,MATCH([23]設定!$D31,[23]第３表!$C$10:$C$66,0),7),[23]設定!$I31))</f>
        <v>146.4</v>
      </c>
      <c r="L55" s="55">
        <f>IF($D55="","",IF([23]設定!$I31="",INDEX([23]第３表!$F$10:$Q$66,MATCH([23]設定!$D31,[23]第３表!$C$10:$C$66,0),8),[23]設定!$I31))</f>
        <v>5.2</v>
      </c>
      <c r="M55" s="56">
        <f>IF($D55="","",IF([23]設定!$I31="",INDEX([23]第３表!$F$10:$Q$66,MATCH([23]設定!$D31,[23]第３表!$C$10:$C$66,0),9),[23]設定!$I31))</f>
        <v>17.7</v>
      </c>
      <c r="N55" s="56">
        <f>IF($D55="","",IF([23]設定!$I31="",INDEX([23]第３表!$F$10:$Q$66,MATCH([23]設定!$D31,[23]第３表!$C$10:$C$66,0),10),[23]設定!$I31))</f>
        <v>118.3</v>
      </c>
      <c r="O55" s="56">
        <f>IF($D55="","",IF([23]設定!$I31="",INDEX([23]第３表!$F$10:$Q$66,MATCH([23]設定!$D31,[23]第３表!$C$10:$C$66,0),11),[23]設定!$I31))</f>
        <v>117.8</v>
      </c>
      <c r="P55" s="57">
        <f>IF($D55="","",IF([23]設定!$I31="",INDEX([23]第３表!$F$10:$Q$66,MATCH([23]設定!$D31,[23]第３表!$C$10:$C$66,0),12),[23]設定!$I31))</f>
        <v>0.5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IF($D56="","",IF([23]設定!$I32="",INDEX([23]第３表!$F$10:$Q$66,MATCH([23]設定!$D32,[23]第３表!$C$10:$C$66,0),1),[23]設定!$I32))</f>
        <v>18.7</v>
      </c>
      <c r="F56" s="52">
        <f>IF($D56="","",IF([23]設定!$I32="",INDEX([23]第３表!$F$10:$Q$66,MATCH([23]設定!$D32,[23]第３表!$C$10:$C$66,0),2),[23]設定!$I32))</f>
        <v>158.30000000000001</v>
      </c>
      <c r="G56" s="52">
        <f>IF($D56="","",IF([23]設定!$I32="",INDEX([23]第３表!$F$10:$Q$66,MATCH([23]設定!$D32,[23]第３表!$C$10:$C$66,0),3),[23]設定!$I32))</f>
        <v>143.19999999999999</v>
      </c>
      <c r="H56" s="53">
        <f>IF($D56="","",IF([23]設定!$I32="",INDEX([23]第３表!$F$10:$Q$66,MATCH([23]設定!$D32,[23]第３表!$C$10:$C$66,0),4),[23]設定!$I32))</f>
        <v>15.1</v>
      </c>
      <c r="I56" s="54">
        <f>IF($D56="","",IF([23]設定!$I32="",INDEX([23]第３表!$F$10:$Q$66,MATCH([23]設定!$D32,[23]第３表!$C$10:$C$66,0),5),[23]設定!$I32))</f>
        <v>18.8</v>
      </c>
      <c r="J56" s="54">
        <f>IF($D56="","",IF([23]設定!$I32="",INDEX([23]第３表!$F$10:$Q$66,MATCH([23]設定!$D32,[23]第３表!$C$10:$C$66,0),6),[23]設定!$I32))</f>
        <v>160.69999999999999</v>
      </c>
      <c r="K56" s="54">
        <f>IF($D56="","",IF([23]設定!$I32="",INDEX([23]第３表!$F$10:$Q$66,MATCH([23]設定!$D32,[23]第３表!$C$10:$C$66,0),7),[23]設定!$I32))</f>
        <v>144.30000000000001</v>
      </c>
      <c r="L56" s="55">
        <f>IF($D56="","",IF([23]設定!$I32="",INDEX([23]第３表!$F$10:$Q$66,MATCH([23]設定!$D32,[23]第３表!$C$10:$C$66,0),8),[23]設定!$I32))</f>
        <v>16.399999999999999</v>
      </c>
      <c r="M56" s="56">
        <f>IF($D56="","",IF([23]設定!$I32="",INDEX([23]第３表!$F$10:$Q$66,MATCH([23]設定!$D32,[23]第３表!$C$10:$C$66,0),9),[23]設定!$I32))</f>
        <v>18.5</v>
      </c>
      <c r="N56" s="56">
        <f>IF($D56="","",IF([23]設定!$I32="",INDEX([23]第３表!$F$10:$Q$66,MATCH([23]設定!$D32,[23]第３表!$C$10:$C$66,0),10),[23]設定!$I32))</f>
        <v>149.19999999999999</v>
      </c>
      <c r="O56" s="56">
        <f>IF($D56="","",IF([23]設定!$I32="",INDEX([23]第３表!$F$10:$Q$66,MATCH([23]設定!$D32,[23]第３表!$C$10:$C$66,0),11),[23]設定!$I32))</f>
        <v>139.30000000000001</v>
      </c>
      <c r="P56" s="57">
        <f>IF($D56="","",IF([23]設定!$I32="",INDEX([23]第３表!$F$10:$Q$66,MATCH([23]設定!$D32,[23]第３表!$C$10:$C$66,0),12),[23]設定!$I32))</f>
        <v>9.9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IF($D57="","",IF([23]設定!$I33="",INDEX([23]第３表!$F$10:$Q$66,MATCH([23]設定!$D33,[23]第３表!$C$10:$C$66,0),1),[23]設定!$I33))</f>
        <v>14.8</v>
      </c>
      <c r="F57" s="52">
        <f>IF($D57="","",IF([23]設定!$I33="",INDEX([23]第３表!$F$10:$Q$66,MATCH([23]設定!$D33,[23]第３表!$C$10:$C$66,0),2),[23]設定!$I33))</f>
        <v>90.9</v>
      </c>
      <c r="G57" s="52">
        <f>IF($D57="","",IF([23]設定!$I33="",INDEX([23]第３表!$F$10:$Q$66,MATCH([23]設定!$D33,[23]第３表!$C$10:$C$66,0),3),[23]設定!$I33))</f>
        <v>86.1</v>
      </c>
      <c r="H57" s="53">
        <f>IF($D57="","",IF([23]設定!$I33="",INDEX([23]第３表!$F$10:$Q$66,MATCH([23]設定!$D33,[23]第３表!$C$10:$C$66,0),4),[23]設定!$I33))</f>
        <v>4.8</v>
      </c>
      <c r="I57" s="54">
        <f>IF($D57="","",IF([23]設定!$I33="",INDEX([23]第３表!$F$10:$Q$66,MATCH([23]設定!$D33,[23]第３表!$C$10:$C$66,0),5),[23]設定!$I33))</f>
        <v>15.1</v>
      </c>
      <c r="J57" s="54">
        <f>IF($D57="","",IF([23]設定!$I33="",INDEX([23]第３表!$F$10:$Q$66,MATCH([23]設定!$D33,[23]第３表!$C$10:$C$66,0),6),[23]設定!$I33))</f>
        <v>100.8</v>
      </c>
      <c r="K57" s="54">
        <f>IF($D57="","",IF([23]設定!$I33="",INDEX([23]第３表!$F$10:$Q$66,MATCH([23]設定!$D33,[23]第３表!$C$10:$C$66,0),7),[23]設定!$I33))</f>
        <v>93.8</v>
      </c>
      <c r="L57" s="55">
        <f>IF($D57="","",IF([23]設定!$I33="",INDEX([23]第３表!$F$10:$Q$66,MATCH([23]設定!$D33,[23]第３表!$C$10:$C$66,0),8),[23]設定!$I33))</f>
        <v>7</v>
      </c>
      <c r="M57" s="56">
        <f>IF($D57="","",IF([23]設定!$I33="",INDEX([23]第３表!$F$10:$Q$66,MATCH([23]設定!$D33,[23]第３表!$C$10:$C$66,0),9),[23]設定!$I33))</f>
        <v>14.6</v>
      </c>
      <c r="N57" s="56">
        <f>IF($D57="","",IF([23]設定!$I33="",INDEX([23]第３表!$F$10:$Q$66,MATCH([23]設定!$D33,[23]第３表!$C$10:$C$66,0),10),[23]設定!$I33))</f>
        <v>84.9</v>
      </c>
      <c r="O57" s="56">
        <f>IF($D57="","",IF([23]設定!$I33="",INDEX([23]第３表!$F$10:$Q$66,MATCH([23]設定!$D33,[23]第３表!$C$10:$C$66,0),11),[23]設定!$I33))</f>
        <v>81.400000000000006</v>
      </c>
      <c r="P57" s="57">
        <f>IF($D57="","",IF([23]設定!$I33="",INDEX([23]第３表!$F$10:$Q$66,MATCH([23]設定!$D33,[23]第３表!$C$10:$C$66,0),12),[23]設定!$I33))</f>
        <v>3.5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 t="str">
        <f>IF($D58="","",IF([23]設定!$I34="",INDEX([23]第３表!$F$10:$Q$66,MATCH([23]設定!$D34,[23]第３表!$C$10:$C$66,0),1),[23]設定!$I34))</f>
        <v>x</v>
      </c>
      <c r="F58" s="52" t="str">
        <f>IF($D58="","",IF([23]設定!$I34="",INDEX([23]第３表!$F$10:$Q$66,MATCH([23]設定!$D34,[23]第３表!$C$10:$C$66,0),2),[23]設定!$I34))</f>
        <v>x</v>
      </c>
      <c r="G58" s="52" t="str">
        <f>IF($D58="","",IF([23]設定!$I34="",INDEX([23]第３表!$F$10:$Q$66,MATCH([23]設定!$D34,[23]第３表!$C$10:$C$66,0),3),[23]設定!$I34))</f>
        <v>x</v>
      </c>
      <c r="H58" s="53" t="str">
        <f>IF($D58="","",IF([23]設定!$I34="",INDEX([23]第３表!$F$10:$Q$66,MATCH([23]設定!$D34,[23]第３表!$C$10:$C$66,0),4),[23]設定!$I34))</f>
        <v>x</v>
      </c>
      <c r="I58" s="54" t="str">
        <f>IF($D58="","",IF([23]設定!$I34="",INDEX([23]第３表!$F$10:$Q$66,MATCH([23]設定!$D34,[23]第３表!$C$10:$C$66,0),5),[23]設定!$I34))</f>
        <v>x</v>
      </c>
      <c r="J58" s="54" t="str">
        <f>IF($D58="","",IF([23]設定!$I34="",INDEX([23]第３表!$F$10:$Q$66,MATCH([23]設定!$D34,[23]第３表!$C$10:$C$66,0),6),[23]設定!$I34))</f>
        <v>x</v>
      </c>
      <c r="K58" s="54" t="str">
        <f>IF($D58="","",IF([23]設定!$I34="",INDEX([23]第３表!$F$10:$Q$66,MATCH([23]設定!$D34,[23]第３表!$C$10:$C$66,0),7),[23]設定!$I34))</f>
        <v>x</v>
      </c>
      <c r="L58" s="55" t="str">
        <f>IF($D58="","",IF([23]設定!$I34="",INDEX([23]第３表!$F$10:$Q$66,MATCH([23]設定!$D34,[23]第３表!$C$10:$C$66,0),8),[23]設定!$I34))</f>
        <v>x</v>
      </c>
      <c r="M58" s="56" t="str">
        <f>IF($D58="","",IF([23]設定!$I34="",INDEX([23]第３表!$F$10:$Q$66,MATCH([23]設定!$D34,[23]第３表!$C$10:$C$66,0),9),[23]設定!$I34))</f>
        <v>x</v>
      </c>
      <c r="N58" s="56" t="str">
        <f>IF($D58="","",IF([23]設定!$I34="",INDEX([23]第３表!$F$10:$Q$66,MATCH([23]設定!$D34,[23]第３表!$C$10:$C$66,0),10),[23]設定!$I34))</f>
        <v>x</v>
      </c>
      <c r="O58" s="56" t="str">
        <f>IF($D58="","",IF([23]設定!$I34="",INDEX([23]第３表!$F$10:$Q$66,MATCH([23]設定!$D34,[23]第３表!$C$10:$C$66,0),11),[23]設定!$I34))</f>
        <v>x</v>
      </c>
      <c r="P58" s="57" t="str">
        <f>IF($D58="","",IF([23]設定!$I34="",INDEX([23]第３表!$F$10:$Q$66,MATCH([23]設定!$D34,[23]第３表!$C$10:$C$66,0),12),[23]設定!$I34))</f>
        <v>x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IF($D59="","",IF([23]設定!$I35="",INDEX([23]第３表!$F$10:$Q$66,MATCH([23]設定!$D35,[23]第３表!$C$10:$C$66,0),1),[23]設定!$I35))</f>
        <v>16.899999999999999</v>
      </c>
      <c r="F59" s="52">
        <f>IF($D59="","",IF([23]設定!$I35="",INDEX([23]第３表!$F$10:$Q$66,MATCH([23]設定!$D35,[23]第３表!$C$10:$C$66,0),2),[23]設定!$I35))</f>
        <v>146.1</v>
      </c>
      <c r="G59" s="52">
        <f>IF($D59="","",IF([23]設定!$I35="",INDEX([23]第３表!$F$10:$Q$66,MATCH([23]設定!$D35,[23]第３表!$C$10:$C$66,0),3),[23]設定!$I35))</f>
        <v>123</v>
      </c>
      <c r="H59" s="53">
        <f>IF($D59="","",IF([23]設定!$I35="",INDEX([23]第３表!$F$10:$Q$66,MATCH([23]設定!$D35,[23]第３表!$C$10:$C$66,0),4),[23]設定!$I35))</f>
        <v>23.1</v>
      </c>
      <c r="I59" s="54">
        <f>IF($D59="","",IF([23]設定!$I35="",INDEX([23]第３表!$F$10:$Q$66,MATCH([23]設定!$D35,[23]第３表!$C$10:$C$66,0),5),[23]設定!$I35))</f>
        <v>17.600000000000001</v>
      </c>
      <c r="J59" s="54">
        <f>IF($D59="","",IF([23]設定!$I35="",INDEX([23]第３表!$F$10:$Q$66,MATCH([23]設定!$D35,[23]第３表!$C$10:$C$66,0),6),[23]設定!$I35))</f>
        <v>158</v>
      </c>
      <c r="K59" s="54">
        <f>IF($D59="","",IF([23]設定!$I35="",INDEX([23]第３表!$F$10:$Q$66,MATCH([23]設定!$D35,[23]第３表!$C$10:$C$66,0),7),[23]設定!$I35))</f>
        <v>129.80000000000001</v>
      </c>
      <c r="L59" s="55">
        <f>IF($D59="","",IF([23]設定!$I35="",INDEX([23]第３表!$F$10:$Q$66,MATCH([23]設定!$D35,[23]第３表!$C$10:$C$66,0),8),[23]設定!$I35))</f>
        <v>28.2</v>
      </c>
      <c r="M59" s="56">
        <f>IF($D59="","",IF([23]設定!$I35="",INDEX([23]第３表!$F$10:$Q$66,MATCH([23]設定!$D35,[23]第３表!$C$10:$C$66,0),9),[23]設定!$I35))</f>
        <v>16.399999999999999</v>
      </c>
      <c r="N59" s="56">
        <f>IF($D59="","",IF([23]設定!$I35="",INDEX([23]第３表!$F$10:$Q$66,MATCH([23]設定!$D35,[23]第３表!$C$10:$C$66,0),10),[23]設定!$I35))</f>
        <v>134.9</v>
      </c>
      <c r="O59" s="56">
        <f>IF($D59="","",IF([23]設定!$I35="",INDEX([23]第３表!$F$10:$Q$66,MATCH([23]設定!$D35,[23]第３表!$C$10:$C$66,0),11),[23]設定!$I35))</f>
        <v>116.7</v>
      </c>
      <c r="P59" s="57">
        <f>IF($D59="","",IF([23]設定!$I35="",INDEX([23]第３表!$F$10:$Q$66,MATCH([23]設定!$D35,[23]第３表!$C$10:$C$66,0),12),[23]設定!$I35))</f>
        <v>18.2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IF($D60="","",IF([23]設定!$I36="",INDEX([23]第３表!$F$10:$Q$66,MATCH([23]設定!$D36,[23]第３表!$C$10:$C$66,0),1),[23]設定!$I36))</f>
        <v>18.8</v>
      </c>
      <c r="F60" s="52">
        <f>IF($D60="","",IF([23]設定!$I36="",INDEX([23]第３表!$F$10:$Q$66,MATCH([23]設定!$D36,[23]第３表!$C$10:$C$66,0),2),[23]設定!$I36))</f>
        <v>141.30000000000001</v>
      </c>
      <c r="G60" s="52">
        <f>IF($D60="","",IF([23]設定!$I36="",INDEX([23]第３表!$F$10:$Q$66,MATCH([23]設定!$D36,[23]第３表!$C$10:$C$66,0),3),[23]設定!$I36))</f>
        <v>137.1</v>
      </c>
      <c r="H60" s="53">
        <f>IF($D60="","",IF([23]設定!$I36="",INDEX([23]第３表!$F$10:$Q$66,MATCH([23]設定!$D36,[23]第３表!$C$10:$C$66,0),4),[23]設定!$I36))</f>
        <v>4.2</v>
      </c>
      <c r="I60" s="54">
        <f>IF($D60="","",IF([23]設定!$I36="",INDEX([23]第３表!$F$10:$Q$66,MATCH([23]設定!$D36,[23]第３表!$C$10:$C$66,0),5),[23]設定!$I36))</f>
        <v>19.2</v>
      </c>
      <c r="J60" s="54">
        <f>IF($D60="","",IF([23]設定!$I36="",INDEX([23]第３表!$F$10:$Q$66,MATCH([23]設定!$D36,[23]第３表!$C$10:$C$66,0),6),[23]設定!$I36))</f>
        <v>149.19999999999999</v>
      </c>
      <c r="K60" s="54">
        <f>IF($D60="","",IF([23]設定!$I36="",INDEX([23]第３表!$F$10:$Q$66,MATCH([23]設定!$D36,[23]第３表!$C$10:$C$66,0),7),[23]設定!$I36))</f>
        <v>143.9</v>
      </c>
      <c r="L60" s="55">
        <f>IF($D60="","",IF([23]設定!$I36="",INDEX([23]第３表!$F$10:$Q$66,MATCH([23]設定!$D36,[23]第３表!$C$10:$C$66,0),8),[23]設定!$I36))</f>
        <v>5.3</v>
      </c>
      <c r="M60" s="56">
        <f>IF($D60="","",IF([23]設定!$I36="",INDEX([23]第３表!$F$10:$Q$66,MATCH([23]設定!$D36,[23]第３表!$C$10:$C$66,0),9),[23]設定!$I36))</f>
        <v>18.600000000000001</v>
      </c>
      <c r="N60" s="56">
        <f>IF($D60="","",IF([23]設定!$I36="",INDEX([23]第３表!$F$10:$Q$66,MATCH([23]設定!$D36,[23]第３表!$C$10:$C$66,0),10),[23]設定!$I36))</f>
        <v>138.4</v>
      </c>
      <c r="O60" s="56">
        <f>IF($D60="","",IF([23]設定!$I36="",INDEX([23]第３表!$F$10:$Q$66,MATCH([23]設定!$D36,[23]第３表!$C$10:$C$66,0),11),[23]設定!$I36))</f>
        <v>134.6</v>
      </c>
      <c r="P60" s="57">
        <f>IF($D60="","",IF([23]設定!$I36="",INDEX([23]第３表!$F$10:$Q$66,MATCH([23]設定!$D36,[23]第３表!$C$10:$C$66,0),12),[23]設定!$I36))</f>
        <v>3.8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IF($D61="","",IF([23]設定!$I37="",INDEX([23]第３表!$F$10:$Q$66,MATCH([23]設定!$D37,[23]第３表!$C$10:$C$66,0),1),[23]設定!$I37))</f>
        <v>19.8</v>
      </c>
      <c r="F61" s="52">
        <f>IF($D61="","",IF([23]設定!$I37="",INDEX([23]第３表!$F$10:$Q$66,MATCH([23]設定!$D37,[23]第３表!$C$10:$C$66,0),2),[23]設定!$I37))</f>
        <v>156.19999999999999</v>
      </c>
      <c r="G61" s="52">
        <f>IF($D61="","",IF([23]設定!$I37="",INDEX([23]第３表!$F$10:$Q$66,MATCH([23]設定!$D37,[23]第３表!$C$10:$C$66,0),3),[23]設定!$I37))</f>
        <v>151.9</v>
      </c>
      <c r="H61" s="53">
        <f>IF($D61="","",IF([23]設定!$I37="",INDEX([23]第３表!$F$10:$Q$66,MATCH([23]設定!$D37,[23]第３表!$C$10:$C$66,0),4),[23]設定!$I37))</f>
        <v>4.3</v>
      </c>
      <c r="I61" s="54">
        <f>IF($D61="","",IF([23]設定!$I37="",INDEX([23]第３表!$F$10:$Q$66,MATCH([23]設定!$D37,[23]第３表!$C$10:$C$66,0),5),[23]設定!$I37))</f>
        <v>20.2</v>
      </c>
      <c r="J61" s="54">
        <f>IF($D61="","",IF([23]設定!$I37="",INDEX([23]第３表!$F$10:$Q$66,MATCH([23]設定!$D37,[23]第３表!$C$10:$C$66,0),6),[23]設定!$I37))</f>
        <v>163.80000000000001</v>
      </c>
      <c r="K61" s="54">
        <f>IF($D61="","",IF([23]設定!$I37="",INDEX([23]第３表!$F$10:$Q$66,MATCH([23]設定!$D37,[23]第３表!$C$10:$C$66,0),7),[23]設定!$I37))</f>
        <v>158.4</v>
      </c>
      <c r="L61" s="55">
        <f>IF($D61="","",IF([23]設定!$I37="",INDEX([23]第３表!$F$10:$Q$66,MATCH([23]設定!$D37,[23]第３表!$C$10:$C$66,0),8),[23]設定!$I37))</f>
        <v>5.4</v>
      </c>
      <c r="M61" s="56">
        <f>IF($D61="","",IF([23]設定!$I37="",INDEX([23]第３表!$F$10:$Q$66,MATCH([23]設定!$D37,[23]第３表!$C$10:$C$66,0),9),[23]設定!$I37))</f>
        <v>19.100000000000001</v>
      </c>
      <c r="N61" s="56">
        <f>IF($D61="","",IF([23]設定!$I37="",INDEX([23]第３表!$F$10:$Q$66,MATCH([23]設定!$D37,[23]第３表!$C$10:$C$66,0),10),[23]設定!$I37))</f>
        <v>144.5</v>
      </c>
      <c r="O61" s="56">
        <f>IF($D61="","",IF([23]設定!$I37="",INDEX([23]第３表!$F$10:$Q$66,MATCH([23]設定!$D37,[23]第３表!$C$10:$C$66,0),11),[23]設定!$I37))</f>
        <v>141.9</v>
      </c>
      <c r="P61" s="57">
        <f>IF($D61="","",IF([23]設定!$I37="",INDEX([23]第３表!$F$10:$Q$66,MATCH([23]設定!$D37,[23]第３表!$C$10:$C$66,0),12),[23]設定!$I37))</f>
        <v>2.6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IF($D62="","",IF([23]設定!$I38="",INDEX([23]第３表!$F$10:$Q$66,MATCH([23]設定!$D38,[23]第３表!$C$10:$C$66,0),1),[23]設定!$I38))</f>
        <v>18.100000000000001</v>
      </c>
      <c r="F62" s="52">
        <f>IF($D62="","",IF([23]設定!$I38="",INDEX([23]第３表!$F$10:$Q$66,MATCH([23]設定!$D38,[23]第３表!$C$10:$C$66,0),2),[23]設定!$I38))</f>
        <v>137.1</v>
      </c>
      <c r="G62" s="52">
        <f>IF($D62="","",IF([23]設定!$I38="",INDEX([23]第３表!$F$10:$Q$66,MATCH([23]設定!$D38,[23]第３表!$C$10:$C$66,0),3),[23]設定!$I38))</f>
        <v>128.6</v>
      </c>
      <c r="H62" s="53">
        <f>IF($D62="","",IF([23]設定!$I38="",INDEX([23]第３表!$F$10:$Q$66,MATCH([23]設定!$D38,[23]第３表!$C$10:$C$66,0),4),[23]設定!$I38))</f>
        <v>8.5</v>
      </c>
      <c r="I62" s="54">
        <f>IF($D62="","",IF([23]設定!$I38="",INDEX([23]第３表!$F$10:$Q$66,MATCH([23]設定!$D38,[23]第３表!$C$10:$C$66,0),5),[23]設定!$I38))</f>
        <v>18.5</v>
      </c>
      <c r="J62" s="54">
        <f>IF($D62="","",IF([23]設定!$I38="",INDEX([23]第３表!$F$10:$Q$66,MATCH([23]設定!$D38,[23]第３表!$C$10:$C$66,0),6),[23]設定!$I38))</f>
        <v>150.9</v>
      </c>
      <c r="K62" s="54">
        <f>IF($D62="","",IF([23]設定!$I38="",INDEX([23]第３表!$F$10:$Q$66,MATCH([23]設定!$D38,[23]第３表!$C$10:$C$66,0),7),[23]設定!$I38))</f>
        <v>139</v>
      </c>
      <c r="L62" s="55">
        <f>IF($D62="","",IF([23]設定!$I38="",INDEX([23]第３表!$F$10:$Q$66,MATCH([23]設定!$D38,[23]第３表!$C$10:$C$66,0),8),[23]設定!$I38))</f>
        <v>11.9</v>
      </c>
      <c r="M62" s="56">
        <f>IF($D62="","",IF([23]設定!$I38="",INDEX([23]第３表!$F$10:$Q$66,MATCH([23]設定!$D38,[23]第３表!$C$10:$C$66,0),9),[23]設定!$I38))</f>
        <v>17.8</v>
      </c>
      <c r="N62" s="56">
        <f>IF($D62="","",IF([23]設定!$I38="",INDEX([23]第３表!$F$10:$Q$66,MATCH([23]設定!$D38,[23]第３表!$C$10:$C$66,0),10),[23]設定!$I38))</f>
        <v>121.8</v>
      </c>
      <c r="O62" s="56">
        <f>IF($D62="","",IF([23]設定!$I38="",INDEX([23]第３表!$F$10:$Q$66,MATCH([23]設定!$D38,[23]第３表!$C$10:$C$66,0),11),[23]設定!$I38))</f>
        <v>117.1</v>
      </c>
      <c r="P62" s="57">
        <f>IF($D62="","",IF([23]設定!$I38="",INDEX([23]第３表!$F$10:$Q$66,MATCH([23]設定!$D38,[23]第３表!$C$10:$C$66,0),12),[23]設定!$I38))</f>
        <v>4.7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IF($D63="","",IF([23]設定!$I39="",INDEX([23]第３表!$F$10:$Q$66,MATCH([23]設定!$D39,[23]第３表!$C$10:$C$66,0),1),[23]設定!$I39))</f>
        <v>20.3</v>
      </c>
      <c r="F63" s="48">
        <f>IF($D63="","",IF([23]設定!$I39="",INDEX([23]第３表!$F$10:$Q$66,MATCH([23]設定!$D39,[23]第３表!$C$10:$C$66,0),2),[23]設定!$I39))</f>
        <v>164.2</v>
      </c>
      <c r="G63" s="48">
        <f>IF($D63="","",IF([23]設定!$I39="",INDEX([23]第３表!$F$10:$Q$66,MATCH([23]設定!$D39,[23]第３表!$C$10:$C$66,0),3),[23]設定!$I39))</f>
        <v>151.69999999999999</v>
      </c>
      <c r="H63" s="64">
        <f>IF($D63="","",IF([23]設定!$I39="",INDEX([23]第３表!$F$10:$Q$66,MATCH([23]設定!$D39,[23]第３表!$C$10:$C$66,0),4),[23]設定!$I39))</f>
        <v>12.5</v>
      </c>
      <c r="I63" s="48">
        <f>IF($D63="","",IF([23]設定!$I39="",INDEX([23]第３表!$F$10:$Q$66,MATCH([23]設定!$D39,[23]第３表!$C$10:$C$66,0),5),[23]設定!$I39))</f>
        <v>20.7</v>
      </c>
      <c r="J63" s="48">
        <f>IF($D63="","",IF([23]設定!$I39="",INDEX([23]第３表!$F$10:$Q$66,MATCH([23]設定!$D39,[23]第３表!$C$10:$C$66,0),6),[23]設定!$I39))</f>
        <v>174.3</v>
      </c>
      <c r="K63" s="48">
        <f>IF($D63="","",IF([23]設定!$I39="",INDEX([23]第３表!$F$10:$Q$66,MATCH([23]設定!$D39,[23]第３表!$C$10:$C$66,0),7),[23]設定!$I39))</f>
        <v>158.5</v>
      </c>
      <c r="L63" s="64">
        <f>IF($D63="","",IF([23]設定!$I39="",INDEX([23]第３表!$F$10:$Q$66,MATCH([23]設定!$D39,[23]第３表!$C$10:$C$66,0),8),[23]設定!$I39))</f>
        <v>15.8</v>
      </c>
      <c r="M63" s="48">
        <f>IF($D63="","",IF([23]設定!$I39="",INDEX([23]第３表!$F$10:$Q$66,MATCH([23]設定!$D39,[23]第３表!$C$10:$C$66,0),9),[23]設定!$I39))</f>
        <v>20</v>
      </c>
      <c r="N63" s="48">
        <f>IF($D63="","",IF([23]設定!$I39="",INDEX([23]第３表!$F$10:$Q$66,MATCH([23]設定!$D39,[23]第３表!$C$10:$C$66,0),10),[23]設定!$I39))</f>
        <v>155.4</v>
      </c>
      <c r="O63" s="48">
        <f>IF($D63="","",IF([23]設定!$I39="",INDEX([23]第３表!$F$10:$Q$66,MATCH([23]設定!$D39,[23]第３表!$C$10:$C$66,0),11),[23]設定!$I39))</f>
        <v>145.80000000000001</v>
      </c>
      <c r="P63" s="64">
        <f>IF($D63="","",IF([23]設定!$I39="",INDEX([23]第３表!$F$10:$Q$66,MATCH([23]設定!$D39,[23]第３表!$C$10:$C$66,0),12),[23]設定!$I39))</f>
        <v>9.6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IF($D64="","",IF([23]設定!$I40="",INDEX([23]第３表!$F$10:$Q$66,MATCH([23]設定!$D40,[23]第３表!$C$10:$C$66,0),1),[23]設定!$I40))</f>
        <v>20.9</v>
      </c>
      <c r="F64" s="52">
        <f>IF($D64="","",IF([23]設定!$I40="",INDEX([23]第３表!$F$10:$Q$66,MATCH([23]設定!$D40,[23]第３表!$C$10:$C$66,0),2),[23]設定!$I40))</f>
        <v>163</v>
      </c>
      <c r="G64" s="52">
        <f>IF($D64="","",IF([23]設定!$I40="",INDEX([23]第３表!$F$10:$Q$66,MATCH([23]設定!$D40,[23]第３表!$C$10:$C$66,0),3),[23]設定!$I40))</f>
        <v>149.80000000000001</v>
      </c>
      <c r="H64" s="55">
        <f>IF($D64="","",IF([23]設定!$I40="",INDEX([23]第３表!$F$10:$Q$66,MATCH([23]設定!$D40,[23]第３表!$C$10:$C$66,0),4),[23]設定!$I40))</f>
        <v>13.2</v>
      </c>
      <c r="I64" s="52">
        <f>IF($D64="","",IF([23]設定!$I40="",INDEX([23]第３表!$F$10:$Q$66,MATCH([23]設定!$D40,[23]第３表!$C$10:$C$66,0),5),[23]設定!$I40))</f>
        <v>20.2</v>
      </c>
      <c r="J64" s="52">
        <f>IF($D64="","",IF([23]設定!$I40="",INDEX([23]第３表!$F$10:$Q$66,MATCH([23]設定!$D40,[23]第３表!$C$10:$C$66,0),6),[23]設定!$I40))</f>
        <v>165.7</v>
      </c>
      <c r="K64" s="52">
        <f>IF($D64="","",IF([23]設定!$I40="",INDEX([23]第３表!$F$10:$Q$66,MATCH([23]設定!$D40,[23]第３表!$C$10:$C$66,0),7),[23]設定!$I40))</f>
        <v>149.80000000000001</v>
      </c>
      <c r="L64" s="55">
        <f>IF($D64="","",IF([23]設定!$I40="",INDEX([23]第３表!$F$10:$Q$66,MATCH([23]設定!$D40,[23]第３表!$C$10:$C$66,0),8),[23]設定!$I40))</f>
        <v>15.9</v>
      </c>
      <c r="M64" s="52">
        <f>IF($D64="","",IF([23]設定!$I40="",INDEX([23]第３表!$F$10:$Q$66,MATCH([23]設定!$D40,[23]第３表!$C$10:$C$66,0),9),[23]設定!$I40))</f>
        <v>21.5</v>
      </c>
      <c r="N64" s="52">
        <f>IF($D64="","",IF([23]設定!$I40="",INDEX([23]第３表!$F$10:$Q$66,MATCH([23]設定!$D40,[23]第３表!$C$10:$C$66,0),10),[23]設定!$I40))</f>
        <v>160.4</v>
      </c>
      <c r="O64" s="52">
        <f>IF($D64="","",IF([23]設定!$I40="",INDEX([23]第３表!$F$10:$Q$66,MATCH([23]設定!$D40,[23]第３表!$C$10:$C$66,0),11),[23]設定!$I40))</f>
        <v>149.80000000000001</v>
      </c>
      <c r="P64" s="55">
        <f>IF($D64="","",IF([23]設定!$I40="",INDEX([23]第３表!$F$10:$Q$66,MATCH([23]設定!$D40,[23]第３表!$C$10:$C$66,0),12),[23]設定!$I40))</f>
        <v>10.6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IF($D65="","",IF([23]設定!$I41="",INDEX([23]第３表!$F$10:$Q$66,MATCH([23]設定!$D41,[23]第３表!$C$10:$C$66,0),1),[23]設定!$I41))</f>
        <v>20.399999999999999</v>
      </c>
      <c r="F65" s="52">
        <f>IF($D65="","",IF([23]設定!$I41="",INDEX([23]第３表!$F$10:$Q$66,MATCH([23]設定!$D41,[23]第３表!$C$10:$C$66,0),2),[23]設定!$I41))</f>
        <v>165.2</v>
      </c>
      <c r="G65" s="52">
        <f>IF($D65="","",IF([23]設定!$I41="",INDEX([23]第３表!$F$10:$Q$66,MATCH([23]設定!$D41,[23]第３表!$C$10:$C$66,0),3),[23]設定!$I41))</f>
        <v>152.19999999999999</v>
      </c>
      <c r="H65" s="55">
        <f>IF($D65="","",IF([23]設定!$I41="",INDEX([23]第３表!$F$10:$Q$66,MATCH([23]設定!$D41,[23]第３表!$C$10:$C$66,0),4),[23]設定!$I41))</f>
        <v>13</v>
      </c>
      <c r="I65" s="52">
        <f>IF($D65="","",IF([23]設定!$I41="",INDEX([23]第３表!$F$10:$Q$66,MATCH([23]設定!$D41,[23]第３表!$C$10:$C$66,0),5),[23]設定!$I41))</f>
        <v>20.3</v>
      </c>
      <c r="J65" s="52">
        <f>IF($D65="","",IF([23]設定!$I41="",INDEX([23]第３表!$F$10:$Q$66,MATCH([23]設定!$D41,[23]第３表!$C$10:$C$66,0),6),[23]設定!$I41))</f>
        <v>171.7</v>
      </c>
      <c r="K65" s="52">
        <f>IF($D65="","",IF([23]設定!$I41="",INDEX([23]第３表!$F$10:$Q$66,MATCH([23]設定!$D41,[23]第３表!$C$10:$C$66,0),7),[23]設定!$I41))</f>
        <v>156.4</v>
      </c>
      <c r="L65" s="55">
        <f>IF($D65="","",IF([23]設定!$I41="",INDEX([23]第３表!$F$10:$Q$66,MATCH([23]設定!$D41,[23]第３表!$C$10:$C$66,0),8),[23]設定!$I41))</f>
        <v>15.3</v>
      </c>
      <c r="M65" s="52">
        <f>IF($D65="","",IF([23]設定!$I41="",INDEX([23]第３表!$F$10:$Q$66,MATCH([23]設定!$D41,[23]第３表!$C$10:$C$66,0),9),[23]設定!$I41))</f>
        <v>20.9</v>
      </c>
      <c r="N65" s="52">
        <f>IF($D65="","",IF([23]設定!$I41="",INDEX([23]第３表!$F$10:$Q$66,MATCH([23]設定!$D41,[23]第３表!$C$10:$C$66,0),10),[23]設定!$I41))</f>
        <v>139.6</v>
      </c>
      <c r="O65" s="52">
        <f>IF($D65="","",IF([23]設定!$I41="",INDEX([23]第３表!$F$10:$Q$66,MATCH([23]設定!$D41,[23]第３表!$C$10:$C$66,0),11),[23]設定!$I41))</f>
        <v>135.69999999999999</v>
      </c>
      <c r="P65" s="55">
        <f>IF($D65="","",IF([23]設定!$I41="",INDEX([23]第３表!$F$10:$Q$66,MATCH([23]設定!$D41,[23]第３表!$C$10:$C$66,0),12),[23]設定!$I41))</f>
        <v>3.9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IF($D66="","",IF([23]設定!$I42="",INDEX([23]第３表!$F$10:$Q$66,MATCH([23]設定!$D42,[23]第３表!$C$10:$C$66,0),1),[23]設定!$I42))</f>
        <v>x</v>
      </c>
      <c r="F66" s="52" t="str">
        <f>IF($D66="","",IF([23]設定!$I42="",INDEX([23]第３表!$F$10:$Q$66,MATCH([23]設定!$D42,[23]第３表!$C$10:$C$66,0),2),[23]設定!$I42))</f>
        <v>x</v>
      </c>
      <c r="G66" s="52" t="str">
        <f>IF($D66="","",IF([23]設定!$I42="",INDEX([23]第３表!$F$10:$Q$66,MATCH([23]設定!$D42,[23]第３表!$C$10:$C$66,0),3),[23]設定!$I42))</f>
        <v>x</v>
      </c>
      <c r="H66" s="55" t="str">
        <f>IF($D66="","",IF([23]設定!$I42="",INDEX([23]第３表!$F$10:$Q$66,MATCH([23]設定!$D42,[23]第３表!$C$10:$C$66,0),4),[23]設定!$I42))</f>
        <v>x</v>
      </c>
      <c r="I66" s="52" t="str">
        <f>IF($D66="","",IF([23]設定!$I42="",INDEX([23]第３表!$F$10:$Q$66,MATCH([23]設定!$D42,[23]第３表!$C$10:$C$66,0),5),[23]設定!$I42))</f>
        <v>x</v>
      </c>
      <c r="J66" s="52" t="str">
        <f>IF($D66="","",IF([23]設定!$I42="",INDEX([23]第３表!$F$10:$Q$66,MATCH([23]設定!$D42,[23]第３表!$C$10:$C$66,0),6),[23]設定!$I42))</f>
        <v>x</v>
      </c>
      <c r="K66" s="52" t="str">
        <f>IF($D66="","",IF([23]設定!$I42="",INDEX([23]第３表!$F$10:$Q$66,MATCH([23]設定!$D42,[23]第３表!$C$10:$C$66,0),7),[23]設定!$I42))</f>
        <v>x</v>
      </c>
      <c r="L66" s="55" t="str">
        <f>IF($D66="","",IF([23]設定!$I42="",INDEX([23]第３表!$F$10:$Q$66,MATCH([23]設定!$D42,[23]第３表!$C$10:$C$66,0),8),[23]設定!$I42))</f>
        <v>x</v>
      </c>
      <c r="M66" s="52" t="str">
        <f>IF($D66="","",IF([23]設定!$I42="",INDEX([23]第３表!$F$10:$Q$66,MATCH([23]設定!$D42,[23]第３表!$C$10:$C$66,0),9),[23]設定!$I42))</f>
        <v>x</v>
      </c>
      <c r="N66" s="52" t="str">
        <f>IF($D66="","",IF([23]設定!$I42="",INDEX([23]第３表!$F$10:$Q$66,MATCH([23]設定!$D42,[23]第３表!$C$10:$C$66,0),10),[23]設定!$I42))</f>
        <v>x</v>
      </c>
      <c r="O66" s="52" t="str">
        <f>IF($D66="","",IF([23]設定!$I42="",INDEX([23]第３表!$F$10:$Q$66,MATCH([23]設定!$D42,[23]第３表!$C$10:$C$66,0),11),[23]設定!$I42))</f>
        <v>x</v>
      </c>
      <c r="P66" s="55" t="str">
        <f>IF($D66="","",IF([23]設定!$I42="",INDEX([23]第３表!$F$10:$Q$66,MATCH([23]設定!$D42,[23]第３表!$C$10:$C$66,0),12),[23]設定!$I42))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 t="str">
        <f>IF($D67="","",IF([23]設定!$I43="",INDEX([23]第３表!$F$10:$Q$66,MATCH([23]設定!$D43,[23]第３表!$C$10:$C$66,0),1),[23]設定!$I43))</f>
        <v>x</v>
      </c>
      <c r="F67" s="52" t="str">
        <f>IF($D67="","",IF([23]設定!$I43="",INDEX([23]第３表!$F$10:$Q$66,MATCH([23]設定!$D43,[23]第３表!$C$10:$C$66,0),2),[23]設定!$I43))</f>
        <v>x</v>
      </c>
      <c r="G67" s="52" t="str">
        <f>IF($D67="","",IF([23]設定!$I43="",INDEX([23]第３表!$F$10:$Q$66,MATCH([23]設定!$D43,[23]第３表!$C$10:$C$66,0),3),[23]設定!$I43))</f>
        <v>x</v>
      </c>
      <c r="H67" s="55" t="str">
        <f>IF($D67="","",IF([23]設定!$I43="",INDEX([23]第３表!$F$10:$Q$66,MATCH([23]設定!$D43,[23]第３表!$C$10:$C$66,0),4),[23]設定!$I43))</f>
        <v>x</v>
      </c>
      <c r="I67" s="52" t="str">
        <f>IF($D67="","",IF([23]設定!$I43="",INDEX([23]第３表!$F$10:$Q$66,MATCH([23]設定!$D43,[23]第３表!$C$10:$C$66,0),5),[23]設定!$I43))</f>
        <v>x</v>
      </c>
      <c r="J67" s="52" t="str">
        <f>IF($D67="","",IF([23]設定!$I43="",INDEX([23]第３表!$F$10:$Q$66,MATCH([23]設定!$D43,[23]第３表!$C$10:$C$66,0),6),[23]設定!$I43))</f>
        <v>x</v>
      </c>
      <c r="K67" s="52" t="str">
        <f>IF($D67="","",IF([23]設定!$I43="",INDEX([23]第３表!$F$10:$Q$66,MATCH([23]設定!$D43,[23]第３表!$C$10:$C$66,0),7),[23]設定!$I43))</f>
        <v>x</v>
      </c>
      <c r="L67" s="55" t="str">
        <f>IF($D67="","",IF([23]設定!$I43="",INDEX([23]第３表!$F$10:$Q$66,MATCH([23]設定!$D43,[23]第３表!$C$10:$C$66,0),8),[23]設定!$I43))</f>
        <v>x</v>
      </c>
      <c r="M67" s="52" t="str">
        <f>IF($D67="","",IF([23]設定!$I43="",INDEX([23]第３表!$F$10:$Q$66,MATCH([23]設定!$D43,[23]第３表!$C$10:$C$66,0),9),[23]設定!$I43))</f>
        <v>x</v>
      </c>
      <c r="N67" s="52" t="str">
        <f>IF($D67="","",IF([23]設定!$I43="",INDEX([23]第３表!$F$10:$Q$66,MATCH([23]設定!$D43,[23]第３表!$C$10:$C$66,0),10),[23]設定!$I43))</f>
        <v>x</v>
      </c>
      <c r="O67" s="52" t="str">
        <f>IF($D67="","",IF([23]設定!$I43="",INDEX([23]第３表!$F$10:$Q$66,MATCH([23]設定!$D43,[23]第３表!$C$10:$C$66,0),11),[23]設定!$I43))</f>
        <v>x</v>
      </c>
      <c r="P67" s="55" t="str">
        <f>IF($D67="","",IF([23]設定!$I43="",INDEX([23]第３表!$F$10:$Q$66,MATCH([23]設定!$D43,[23]第３表!$C$10:$C$66,0),12),[23]設定!$I43))</f>
        <v>x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IF($D68="","",IF([23]設定!$I44="",INDEX([23]第３表!$F$10:$Q$66,MATCH([23]設定!$D44,[23]第３表!$C$10:$C$66,0),1),[23]設定!$I44))</f>
        <v>19.7</v>
      </c>
      <c r="F68" s="52">
        <f>IF($D68="","",IF([23]設定!$I44="",INDEX([23]第３表!$F$10:$Q$66,MATCH([23]設定!$D44,[23]第３表!$C$10:$C$66,0),2),[23]設定!$I44))</f>
        <v>164.5</v>
      </c>
      <c r="G68" s="52">
        <f>IF($D68="","",IF([23]設定!$I44="",INDEX([23]第３表!$F$10:$Q$66,MATCH([23]設定!$D44,[23]第３表!$C$10:$C$66,0),3),[23]設定!$I44))</f>
        <v>147.1</v>
      </c>
      <c r="H68" s="55">
        <f>IF($D68="","",IF([23]設定!$I44="",INDEX([23]第３表!$F$10:$Q$66,MATCH([23]設定!$D44,[23]第３表!$C$10:$C$66,0),4),[23]設定!$I44))</f>
        <v>17.399999999999999</v>
      </c>
      <c r="I68" s="52">
        <f>IF($D68="","",IF([23]設定!$I44="",INDEX([23]第３表!$F$10:$Q$66,MATCH([23]設定!$D44,[23]第３表!$C$10:$C$66,0),5),[23]設定!$I44))</f>
        <v>19.8</v>
      </c>
      <c r="J68" s="52">
        <f>IF($D68="","",IF([23]設定!$I44="",INDEX([23]第３表!$F$10:$Q$66,MATCH([23]設定!$D44,[23]第３表!$C$10:$C$66,0),6),[23]設定!$I44))</f>
        <v>166.2</v>
      </c>
      <c r="K68" s="52">
        <f>IF($D68="","",IF([23]設定!$I44="",INDEX([23]第３表!$F$10:$Q$66,MATCH([23]設定!$D44,[23]第３表!$C$10:$C$66,0),7),[23]設定!$I44))</f>
        <v>147.80000000000001</v>
      </c>
      <c r="L68" s="55">
        <f>IF($D68="","",IF([23]設定!$I44="",INDEX([23]第３表!$F$10:$Q$66,MATCH([23]設定!$D44,[23]第３表!$C$10:$C$66,0),8),[23]設定!$I44))</f>
        <v>18.399999999999999</v>
      </c>
      <c r="M68" s="52">
        <f>IF($D68="","",IF([23]設定!$I44="",INDEX([23]第３表!$F$10:$Q$66,MATCH([23]設定!$D44,[23]第３表!$C$10:$C$66,0),9),[23]設定!$I44))</f>
        <v>18.5</v>
      </c>
      <c r="N68" s="52">
        <f>IF($D68="","",IF([23]設定!$I44="",INDEX([23]第３表!$F$10:$Q$66,MATCH([23]設定!$D44,[23]第３表!$C$10:$C$66,0),10),[23]設定!$I44))</f>
        <v>143.30000000000001</v>
      </c>
      <c r="O68" s="52">
        <f>IF($D68="","",IF([23]設定!$I44="",INDEX([23]第３表!$F$10:$Q$66,MATCH([23]設定!$D44,[23]第３表!$C$10:$C$66,0),11),[23]設定!$I44))</f>
        <v>138.80000000000001</v>
      </c>
      <c r="P68" s="55">
        <f>IF($D68="","",IF([23]設定!$I44="",INDEX([23]第３表!$F$10:$Q$66,MATCH([23]設定!$D44,[23]第３表!$C$10:$C$66,0),12),[23]設定!$I44))</f>
        <v>4.5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IF($D69="","",IF([23]設定!$I45="",INDEX([23]第３表!$F$10:$Q$66,MATCH([23]設定!$D45,[23]第３表!$C$10:$C$66,0),1),[23]設定!$I45))</f>
        <v>20</v>
      </c>
      <c r="F69" s="52">
        <f>IF($D69="","",IF([23]設定!$I45="",INDEX([23]第３表!$F$10:$Q$66,MATCH([23]設定!$D45,[23]第３表!$C$10:$C$66,0),2),[23]設定!$I45))</f>
        <v>151.80000000000001</v>
      </c>
      <c r="G69" s="52">
        <f>IF($D69="","",IF([23]設定!$I45="",INDEX([23]第３表!$F$10:$Q$66,MATCH([23]設定!$D45,[23]第３表!$C$10:$C$66,0),3),[23]設定!$I45))</f>
        <v>141.80000000000001</v>
      </c>
      <c r="H69" s="55">
        <f>IF($D69="","",IF([23]設定!$I45="",INDEX([23]第３表!$F$10:$Q$66,MATCH([23]設定!$D45,[23]第３表!$C$10:$C$66,0),4),[23]設定!$I45))</f>
        <v>10</v>
      </c>
      <c r="I69" s="52">
        <f>IF($D69="","",IF([23]設定!$I45="",INDEX([23]第３表!$F$10:$Q$66,MATCH([23]設定!$D45,[23]第３表!$C$10:$C$66,0),5),[23]設定!$I45))</f>
        <v>20.100000000000001</v>
      </c>
      <c r="J69" s="52">
        <f>IF($D69="","",IF([23]設定!$I45="",INDEX([23]第３表!$F$10:$Q$66,MATCH([23]設定!$D45,[23]第３表!$C$10:$C$66,0),6),[23]設定!$I45))</f>
        <v>161.5</v>
      </c>
      <c r="K69" s="52">
        <f>IF($D69="","",IF([23]設定!$I45="",INDEX([23]第３表!$F$10:$Q$66,MATCH([23]設定!$D45,[23]第３表!$C$10:$C$66,0),7),[23]設定!$I45))</f>
        <v>147.9</v>
      </c>
      <c r="L69" s="55">
        <f>IF($D69="","",IF([23]設定!$I45="",INDEX([23]第３表!$F$10:$Q$66,MATCH([23]設定!$D45,[23]第３表!$C$10:$C$66,0),8),[23]設定!$I45))</f>
        <v>13.6</v>
      </c>
      <c r="M69" s="52">
        <f>IF($D69="","",IF([23]設定!$I45="",INDEX([23]第３表!$F$10:$Q$66,MATCH([23]設定!$D45,[23]第３表!$C$10:$C$66,0),9),[23]設定!$I45))</f>
        <v>20</v>
      </c>
      <c r="N69" s="52">
        <f>IF($D69="","",IF([23]設定!$I45="",INDEX([23]第３表!$F$10:$Q$66,MATCH([23]設定!$D45,[23]第３表!$C$10:$C$66,0),10),[23]設定!$I45))</f>
        <v>127.4</v>
      </c>
      <c r="O69" s="52">
        <f>IF($D69="","",IF([23]設定!$I45="",INDEX([23]第３表!$F$10:$Q$66,MATCH([23]設定!$D45,[23]第３表!$C$10:$C$66,0),11),[23]設定!$I45))</f>
        <v>126.4</v>
      </c>
      <c r="P69" s="55">
        <f>IF($D69="","",IF([23]設定!$I45="",INDEX([23]第３表!$F$10:$Q$66,MATCH([23]設定!$D45,[23]第３表!$C$10:$C$66,0),12),[23]設定!$I45))</f>
        <v>1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IF($D70="","",IF([23]設定!$I46="",INDEX([23]第３表!$F$10:$Q$66,MATCH([23]設定!$D46,[23]第３表!$C$10:$C$66,0),1),[23]設定!$I46))</f>
        <v>19.2</v>
      </c>
      <c r="F70" s="52">
        <f>IF($D70="","",IF([23]設定!$I46="",INDEX([23]第３表!$F$10:$Q$66,MATCH([23]設定!$D46,[23]第３表!$C$10:$C$66,0),2),[23]設定!$I46))</f>
        <v>161.6</v>
      </c>
      <c r="G70" s="52">
        <f>IF($D70="","",IF([23]設定!$I46="",INDEX([23]第３表!$F$10:$Q$66,MATCH([23]設定!$D46,[23]第３表!$C$10:$C$66,0),3),[23]設定!$I46))</f>
        <v>142</v>
      </c>
      <c r="H70" s="55">
        <f>IF($D70="","",IF([23]設定!$I46="",INDEX([23]第３表!$F$10:$Q$66,MATCH([23]設定!$D46,[23]第３表!$C$10:$C$66,0),4),[23]設定!$I46))</f>
        <v>19.600000000000001</v>
      </c>
      <c r="I70" s="52">
        <f>IF($D70="","",IF([23]設定!$I46="",INDEX([23]第３表!$F$10:$Q$66,MATCH([23]設定!$D46,[23]第３表!$C$10:$C$66,0),5),[23]設定!$I46))</f>
        <v>19</v>
      </c>
      <c r="J70" s="52">
        <f>IF($D70="","",IF([23]設定!$I46="",INDEX([23]第３表!$F$10:$Q$66,MATCH([23]設定!$D46,[23]第３表!$C$10:$C$66,0),6),[23]設定!$I46))</f>
        <v>160.80000000000001</v>
      </c>
      <c r="K70" s="52">
        <f>IF($D70="","",IF([23]設定!$I46="",INDEX([23]第３表!$F$10:$Q$66,MATCH([23]設定!$D46,[23]第３表!$C$10:$C$66,0),7),[23]設定!$I46))</f>
        <v>139.9</v>
      </c>
      <c r="L70" s="55">
        <f>IF($D70="","",IF([23]設定!$I46="",INDEX([23]第３表!$F$10:$Q$66,MATCH([23]設定!$D46,[23]第３表!$C$10:$C$66,0),8),[23]設定!$I46))</f>
        <v>20.9</v>
      </c>
      <c r="M70" s="52">
        <f>IF($D70="","",IF([23]設定!$I46="",INDEX([23]第３表!$F$10:$Q$66,MATCH([23]設定!$D46,[23]第３表!$C$10:$C$66,0),9),[23]設定!$I46))</f>
        <v>20.399999999999999</v>
      </c>
      <c r="N70" s="52">
        <f>IF($D70="","",IF([23]設定!$I46="",INDEX([23]第３表!$F$10:$Q$66,MATCH([23]設定!$D46,[23]第３表!$C$10:$C$66,0),10),[23]設定!$I46))</f>
        <v>166.5</v>
      </c>
      <c r="O70" s="52">
        <f>IF($D70="","",IF([23]設定!$I46="",INDEX([23]第３表!$F$10:$Q$66,MATCH([23]設定!$D46,[23]第３表!$C$10:$C$66,0),11),[23]設定!$I46))</f>
        <v>154.4</v>
      </c>
      <c r="P70" s="55">
        <f>IF($D70="","",IF([23]設定!$I46="",INDEX([23]第３表!$F$10:$Q$66,MATCH([23]設定!$D46,[23]第３表!$C$10:$C$66,0),12),[23]設定!$I46))</f>
        <v>12.1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IF($D71="","",IF([23]設定!$I47="",INDEX([23]第３表!$F$10:$Q$66,MATCH([23]設定!$D47,[23]第３表!$C$10:$C$66,0),1),[23]設定!$I47))</f>
        <v>20.5</v>
      </c>
      <c r="F71" s="52">
        <f>IF($D71="","",IF([23]設定!$I47="",INDEX([23]第３表!$F$10:$Q$66,MATCH([23]設定!$D47,[23]第３表!$C$10:$C$66,0),2),[23]設定!$I47))</f>
        <v>168.9</v>
      </c>
      <c r="G71" s="52">
        <f>IF($D71="","",IF([23]設定!$I47="",INDEX([23]第３表!$F$10:$Q$66,MATCH([23]設定!$D47,[23]第３表!$C$10:$C$66,0),3),[23]設定!$I47))</f>
        <v>155</v>
      </c>
      <c r="H71" s="55">
        <f>IF($D71="","",IF([23]設定!$I47="",INDEX([23]第３表!$F$10:$Q$66,MATCH([23]設定!$D47,[23]第３表!$C$10:$C$66,0),4),[23]設定!$I47))</f>
        <v>13.9</v>
      </c>
      <c r="I71" s="52">
        <f>IF($D71="","",IF([23]設定!$I47="",INDEX([23]第３表!$F$10:$Q$66,MATCH([23]設定!$D47,[23]第３表!$C$10:$C$66,0),5),[23]設定!$I47))</f>
        <v>20.7</v>
      </c>
      <c r="J71" s="52">
        <f>IF($D71="","",IF([23]設定!$I47="",INDEX([23]第３表!$F$10:$Q$66,MATCH([23]設定!$D47,[23]第３表!$C$10:$C$66,0),6),[23]設定!$I47))</f>
        <v>176.8</v>
      </c>
      <c r="K71" s="52">
        <f>IF($D71="","",IF([23]設定!$I47="",INDEX([23]第３表!$F$10:$Q$66,MATCH([23]設定!$D47,[23]第３表!$C$10:$C$66,0),7),[23]設定!$I47))</f>
        <v>159.80000000000001</v>
      </c>
      <c r="L71" s="55">
        <f>IF($D71="","",IF([23]設定!$I47="",INDEX([23]第３表!$F$10:$Q$66,MATCH([23]設定!$D47,[23]第３表!$C$10:$C$66,0),8),[23]設定!$I47))</f>
        <v>17</v>
      </c>
      <c r="M71" s="52">
        <f>IF($D71="","",IF([23]設定!$I47="",INDEX([23]第３表!$F$10:$Q$66,MATCH([23]設定!$D47,[23]第３表!$C$10:$C$66,0),9),[23]設定!$I47))</f>
        <v>19.8</v>
      </c>
      <c r="N71" s="52">
        <f>IF($D71="","",IF([23]設定!$I47="",INDEX([23]第３表!$F$10:$Q$66,MATCH([23]設定!$D47,[23]第３表!$C$10:$C$66,0),10),[23]設定!$I47))</f>
        <v>140.80000000000001</v>
      </c>
      <c r="O71" s="52">
        <f>IF($D71="","",IF([23]設定!$I47="",INDEX([23]第３表!$F$10:$Q$66,MATCH([23]設定!$D47,[23]第３表!$C$10:$C$66,0),11),[23]設定!$I47))</f>
        <v>137.9</v>
      </c>
      <c r="P71" s="55">
        <f>IF($D71="","",IF([23]設定!$I47="",INDEX([23]第３表!$F$10:$Q$66,MATCH([23]設定!$D47,[23]第３表!$C$10:$C$66,0),12),[23]設定!$I47))</f>
        <v>2.9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IF($D72="","",IF([23]設定!$I48="",INDEX([23]第３表!$F$10:$Q$66,MATCH([23]設定!$D48,[23]第３表!$C$10:$C$66,0),1),[23]設定!$I48))</f>
        <v>20.9</v>
      </c>
      <c r="F72" s="55">
        <f>IF($D72="","",IF([23]設定!$I48="",INDEX([23]第３表!$F$10:$Q$66,MATCH([23]設定!$D48,[23]第３表!$C$10:$C$66,0),2),[23]設定!$I48))</f>
        <v>172.2</v>
      </c>
      <c r="G72" s="55">
        <f>IF($D72="","",IF([23]設定!$I48="",INDEX([23]第３表!$F$10:$Q$66,MATCH([23]設定!$D48,[23]第３表!$C$10:$C$66,0),3),[23]設定!$I48))</f>
        <v>161.9</v>
      </c>
      <c r="H72" s="55">
        <f>IF($D72="","",IF([23]設定!$I48="",INDEX([23]第３表!$F$10:$Q$66,MATCH([23]設定!$D48,[23]第３表!$C$10:$C$66,0),4),[23]設定!$I48))</f>
        <v>10.3</v>
      </c>
      <c r="I72" s="55">
        <f>IF($D72="","",IF([23]設定!$I48="",INDEX([23]第３表!$F$10:$Q$66,MATCH([23]設定!$D48,[23]第３表!$C$10:$C$66,0),5),[23]設定!$I48))</f>
        <v>20.9</v>
      </c>
      <c r="J72" s="55">
        <f>IF($D72="","",IF([23]設定!$I48="",INDEX([23]第３表!$F$10:$Q$66,MATCH([23]設定!$D48,[23]第３表!$C$10:$C$66,0),6),[23]設定!$I48))</f>
        <v>174.7</v>
      </c>
      <c r="K72" s="55">
        <f>IF($D72="","",IF([23]設定!$I48="",INDEX([23]第３表!$F$10:$Q$66,MATCH([23]設定!$D48,[23]第３表!$C$10:$C$66,0),7),[23]設定!$I48))</f>
        <v>162.6</v>
      </c>
      <c r="L72" s="55">
        <f>IF($D72="","",IF([23]設定!$I48="",INDEX([23]第３表!$F$10:$Q$66,MATCH([23]設定!$D48,[23]第３表!$C$10:$C$66,0),8),[23]設定!$I48))</f>
        <v>12.1</v>
      </c>
      <c r="M72" s="55">
        <f>IF($D72="","",IF([23]設定!$I48="",INDEX([23]第３表!$F$10:$Q$66,MATCH([23]設定!$D48,[23]第３表!$C$10:$C$66,0),9),[23]設定!$I48))</f>
        <v>21</v>
      </c>
      <c r="N72" s="55">
        <f>IF($D72="","",IF([23]設定!$I48="",INDEX([23]第３表!$F$10:$Q$66,MATCH([23]設定!$D48,[23]第３表!$C$10:$C$66,0),10),[23]設定!$I48))</f>
        <v>163.80000000000001</v>
      </c>
      <c r="O72" s="55">
        <f>IF($D72="","",IF([23]設定!$I48="",INDEX([23]第３表!$F$10:$Q$66,MATCH([23]設定!$D48,[23]第３表!$C$10:$C$66,0),11),[23]設定!$I48))</f>
        <v>159.4</v>
      </c>
      <c r="P72" s="55">
        <f>IF($D72="","",IF([23]設定!$I48="",INDEX([23]第３表!$F$10:$Q$66,MATCH([23]設定!$D48,[23]第３表!$C$10:$C$66,0),12),[23]設定!$I48))</f>
        <v>4.4000000000000004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IF($D73="","",IF([23]設定!$I49="",INDEX([23]第３表!$F$10:$Q$66,MATCH([23]設定!$D49,[23]第３表!$C$10:$C$66,0),1),[23]設定!$I49))</f>
        <v>19.8</v>
      </c>
      <c r="F73" s="55">
        <f>IF($D73="","",IF([23]設定!$I49="",INDEX([23]第３表!$F$10:$Q$66,MATCH([23]設定!$D49,[23]第３表!$C$10:$C$66,0),2),[23]設定!$I49))</f>
        <v>168.4</v>
      </c>
      <c r="G73" s="55">
        <f>IF($D73="","",IF([23]設定!$I49="",INDEX([23]第３表!$F$10:$Q$66,MATCH([23]設定!$D49,[23]第３表!$C$10:$C$66,0),3),[23]設定!$I49))</f>
        <v>157.6</v>
      </c>
      <c r="H73" s="55">
        <f>IF($D73="","",IF([23]設定!$I49="",INDEX([23]第３表!$F$10:$Q$66,MATCH([23]設定!$D49,[23]第３表!$C$10:$C$66,0),4),[23]設定!$I49))</f>
        <v>10.8</v>
      </c>
      <c r="I73" s="55">
        <f>IF($D73="","",IF([23]設定!$I49="",INDEX([23]第３表!$F$10:$Q$66,MATCH([23]設定!$D49,[23]第３表!$C$10:$C$66,0),5),[23]設定!$I49))</f>
        <v>21.5</v>
      </c>
      <c r="J73" s="55">
        <f>IF($D73="","",IF([23]設定!$I49="",INDEX([23]第３表!$F$10:$Q$66,MATCH([23]設定!$D49,[23]第３表!$C$10:$C$66,0),6),[23]設定!$I49))</f>
        <v>182.8</v>
      </c>
      <c r="K73" s="55">
        <f>IF($D73="","",IF([23]設定!$I49="",INDEX([23]第３表!$F$10:$Q$66,MATCH([23]設定!$D49,[23]第３表!$C$10:$C$66,0),7),[23]設定!$I49))</f>
        <v>169.6</v>
      </c>
      <c r="L73" s="55">
        <f>IF($D73="","",IF([23]設定!$I49="",INDEX([23]第３表!$F$10:$Q$66,MATCH([23]設定!$D49,[23]第３表!$C$10:$C$66,0),8),[23]設定!$I49))</f>
        <v>13.2</v>
      </c>
      <c r="M73" s="55">
        <f>IF($D73="","",IF([23]設定!$I49="",INDEX([23]第３表!$F$10:$Q$66,MATCH([23]設定!$D49,[23]第３表!$C$10:$C$66,0),9),[23]設定!$I49))</f>
        <v>18.100000000000001</v>
      </c>
      <c r="N73" s="55">
        <f>IF($D73="","",IF([23]設定!$I49="",INDEX([23]第３表!$F$10:$Q$66,MATCH([23]設定!$D49,[23]第３表!$C$10:$C$66,0),10),[23]設定!$I49))</f>
        <v>154.6</v>
      </c>
      <c r="O73" s="55">
        <f>IF($D73="","",IF([23]設定!$I49="",INDEX([23]第３表!$F$10:$Q$66,MATCH([23]設定!$D49,[23]第３表!$C$10:$C$66,0),11),[23]設定!$I49))</f>
        <v>146.19999999999999</v>
      </c>
      <c r="P73" s="55">
        <f>IF($D73="","",IF([23]設定!$I49="",INDEX([23]第３表!$F$10:$Q$66,MATCH([23]設定!$D49,[23]第３表!$C$10:$C$66,0),12),[23]設定!$I49))</f>
        <v>8.4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IF($D74="","",IF([23]設定!$I50="",INDEX([23]第３表!$F$10:$Q$66,MATCH([23]設定!$D50,[23]第３表!$C$10:$C$66,0),1),[23]設定!$I50))</f>
        <v>17.5</v>
      </c>
      <c r="F74" s="55">
        <f>IF($D74="","",IF([23]設定!$I50="",INDEX([23]第３表!$F$10:$Q$66,MATCH([23]設定!$D50,[23]第３表!$C$10:$C$66,0),2),[23]設定!$I50))</f>
        <v>148.5</v>
      </c>
      <c r="G74" s="55">
        <f>IF($D74="","",IF([23]設定!$I50="",INDEX([23]第３表!$F$10:$Q$66,MATCH([23]設定!$D50,[23]第３表!$C$10:$C$66,0),3),[23]設定!$I50))</f>
        <v>136.4</v>
      </c>
      <c r="H74" s="55">
        <f>IF($D74="","",IF([23]設定!$I50="",INDEX([23]第３表!$F$10:$Q$66,MATCH([23]設定!$D50,[23]第３表!$C$10:$C$66,0),4),[23]設定!$I50))</f>
        <v>12.1</v>
      </c>
      <c r="I74" s="55">
        <f>IF($D74="","",IF([23]設定!$I50="",INDEX([23]第３表!$F$10:$Q$66,MATCH([23]設定!$D50,[23]第３表!$C$10:$C$66,0),5),[23]設定!$I50))</f>
        <v>17.8</v>
      </c>
      <c r="J74" s="55">
        <f>IF($D74="","",IF([23]設定!$I50="",INDEX([23]第３表!$F$10:$Q$66,MATCH([23]設定!$D50,[23]第３表!$C$10:$C$66,0),6),[23]設定!$I50))</f>
        <v>157.4</v>
      </c>
      <c r="K74" s="55">
        <f>IF($D74="","",IF([23]設定!$I50="",INDEX([23]第３表!$F$10:$Q$66,MATCH([23]設定!$D50,[23]第３表!$C$10:$C$66,0),7),[23]設定!$I50))</f>
        <v>142.1</v>
      </c>
      <c r="L74" s="55">
        <f>IF($D74="","",IF([23]設定!$I50="",INDEX([23]第３表!$F$10:$Q$66,MATCH([23]設定!$D50,[23]第３表!$C$10:$C$66,0),8),[23]設定!$I50))</f>
        <v>15.3</v>
      </c>
      <c r="M74" s="55">
        <f>IF($D74="","",IF([23]設定!$I50="",INDEX([23]第３表!$F$10:$Q$66,MATCH([23]設定!$D50,[23]第３表!$C$10:$C$66,0),9),[23]設定!$I50))</f>
        <v>16.7</v>
      </c>
      <c r="N74" s="55">
        <f>IF($D74="","",IF([23]設定!$I50="",INDEX([23]第３表!$F$10:$Q$66,MATCH([23]設定!$D50,[23]第３表!$C$10:$C$66,0),10),[23]設定!$I50))</f>
        <v>131.19999999999999</v>
      </c>
      <c r="O74" s="55">
        <f>IF($D74="","",IF([23]設定!$I50="",INDEX([23]第３表!$F$10:$Q$66,MATCH([23]設定!$D50,[23]第３表!$C$10:$C$66,0),11),[23]設定!$I50))</f>
        <v>125.4</v>
      </c>
      <c r="P74" s="55">
        <f>IF($D74="","",IF([23]設定!$I50="",INDEX([23]第３表!$F$10:$Q$66,MATCH([23]設定!$D50,[23]第３表!$C$10:$C$66,0),12),[23]設定!$I50))</f>
        <v>5.8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IF($D75="","",IF([23]設定!$I51="",INDEX([23]第３表!$F$10:$Q$66,MATCH([23]設定!$D51,[23]第３表!$C$10:$C$66,0),1),[23]設定!$I51))</f>
        <v>20.399999999999999</v>
      </c>
      <c r="F75" s="55">
        <f>IF($D75="","",IF([23]設定!$I51="",INDEX([23]第３表!$F$10:$Q$66,MATCH([23]設定!$D51,[23]第３表!$C$10:$C$66,0),2),[23]設定!$I51))</f>
        <v>164.2</v>
      </c>
      <c r="G75" s="55">
        <f>IF($D75="","",IF([23]設定!$I51="",INDEX([23]第３表!$F$10:$Q$66,MATCH([23]設定!$D51,[23]第３表!$C$10:$C$66,0),3),[23]設定!$I51))</f>
        <v>157.9</v>
      </c>
      <c r="H75" s="55">
        <f>IF($D75="","",IF([23]設定!$I51="",INDEX([23]第３表!$F$10:$Q$66,MATCH([23]設定!$D51,[23]第３表!$C$10:$C$66,0),4),[23]設定!$I51))</f>
        <v>6.3</v>
      </c>
      <c r="I75" s="55">
        <f>IF($D75="","",IF([23]設定!$I51="",INDEX([23]第３表!$F$10:$Q$66,MATCH([23]設定!$D51,[23]第３表!$C$10:$C$66,0),5),[23]設定!$I51))</f>
        <v>20.9</v>
      </c>
      <c r="J75" s="55">
        <f>IF($D75="","",IF([23]設定!$I51="",INDEX([23]第３表!$F$10:$Q$66,MATCH([23]設定!$D51,[23]第３表!$C$10:$C$66,0),6),[23]設定!$I51))</f>
        <v>170.9</v>
      </c>
      <c r="K75" s="55">
        <f>IF($D75="","",IF([23]設定!$I51="",INDEX([23]第３表!$F$10:$Q$66,MATCH([23]設定!$D51,[23]第３表!$C$10:$C$66,0),7),[23]設定!$I51))</f>
        <v>163</v>
      </c>
      <c r="L75" s="55">
        <f>IF($D75="","",IF([23]設定!$I51="",INDEX([23]第３表!$F$10:$Q$66,MATCH([23]設定!$D51,[23]第３表!$C$10:$C$66,0),8),[23]設定!$I51))</f>
        <v>7.9</v>
      </c>
      <c r="M75" s="55">
        <f>IF($D75="","",IF([23]設定!$I51="",INDEX([23]第３表!$F$10:$Q$66,MATCH([23]設定!$D51,[23]第３表!$C$10:$C$66,0),9),[23]設定!$I51))</f>
        <v>19.399999999999999</v>
      </c>
      <c r="N75" s="55">
        <f>IF($D75="","",IF([23]設定!$I51="",INDEX([23]第３表!$F$10:$Q$66,MATCH([23]設定!$D51,[23]第３表!$C$10:$C$66,0),10),[23]設定!$I51))</f>
        <v>150.30000000000001</v>
      </c>
      <c r="O75" s="55">
        <f>IF($D75="","",IF([23]設定!$I51="",INDEX([23]第３表!$F$10:$Q$66,MATCH([23]設定!$D51,[23]第３表!$C$10:$C$66,0),11),[23]設定!$I51))</f>
        <v>147.4</v>
      </c>
      <c r="P75" s="55">
        <f>IF($D75="","",IF([23]設定!$I51="",INDEX([23]第３表!$F$10:$Q$66,MATCH([23]設定!$D51,[23]第３表!$C$10:$C$66,0),12),[23]設定!$I51))</f>
        <v>2.9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IF($D76="","",IF([23]設定!$I52="",INDEX([23]第３表!$F$10:$Q$66,MATCH([23]設定!$D52,[23]第３表!$C$10:$C$66,0),1),[23]設定!$I52))</f>
        <v>17.600000000000001</v>
      </c>
      <c r="F76" s="55">
        <f>IF($D76="","",IF([23]設定!$I52="",INDEX([23]第３表!$F$10:$Q$66,MATCH([23]設定!$D52,[23]第３表!$C$10:$C$66,0),2),[23]設定!$I52))</f>
        <v>163.4</v>
      </c>
      <c r="G76" s="55">
        <f>IF($D76="","",IF([23]設定!$I52="",INDEX([23]第３表!$F$10:$Q$66,MATCH([23]設定!$D52,[23]第３表!$C$10:$C$66,0),3),[23]設定!$I52))</f>
        <v>142.19999999999999</v>
      </c>
      <c r="H76" s="55">
        <f>IF($D76="","",IF([23]設定!$I52="",INDEX([23]第３表!$F$10:$Q$66,MATCH([23]設定!$D52,[23]第３表!$C$10:$C$66,0),4),[23]設定!$I52))</f>
        <v>21.2</v>
      </c>
      <c r="I76" s="55">
        <f>IF($D76="","",IF([23]設定!$I52="",INDEX([23]第３表!$F$10:$Q$66,MATCH([23]設定!$D52,[23]第３表!$C$10:$C$66,0),5),[23]設定!$I52))</f>
        <v>17.7</v>
      </c>
      <c r="J76" s="55">
        <f>IF($D76="","",IF([23]設定!$I52="",INDEX([23]第３表!$F$10:$Q$66,MATCH([23]設定!$D52,[23]第３表!$C$10:$C$66,0),6),[23]設定!$I52))</f>
        <v>166.5</v>
      </c>
      <c r="K76" s="55">
        <f>IF($D76="","",IF([23]設定!$I52="",INDEX([23]第３表!$F$10:$Q$66,MATCH([23]設定!$D52,[23]第３表!$C$10:$C$66,0),7),[23]設定!$I52))</f>
        <v>143.9</v>
      </c>
      <c r="L76" s="55">
        <f>IF($D76="","",IF([23]設定!$I52="",INDEX([23]第３表!$F$10:$Q$66,MATCH([23]設定!$D52,[23]第３表!$C$10:$C$66,0),8),[23]設定!$I52))</f>
        <v>22.6</v>
      </c>
      <c r="M76" s="55">
        <f>IF($D76="","",IF([23]設定!$I52="",INDEX([23]第３表!$F$10:$Q$66,MATCH([23]設定!$D52,[23]第３表!$C$10:$C$66,0),9),[23]設定!$I52))</f>
        <v>17.5</v>
      </c>
      <c r="N76" s="55">
        <f>IF($D76="","",IF([23]設定!$I52="",INDEX([23]第３表!$F$10:$Q$66,MATCH([23]設定!$D52,[23]第３表!$C$10:$C$66,0),10),[23]設定!$I52))</f>
        <v>150</v>
      </c>
      <c r="O76" s="55">
        <f>IF($D76="","",IF([23]設定!$I52="",INDEX([23]第３表!$F$10:$Q$66,MATCH([23]設定!$D52,[23]第３表!$C$10:$C$66,0),11),[23]設定!$I52))</f>
        <v>134.80000000000001</v>
      </c>
      <c r="P76" s="55">
        <f>IF($D76="","",IF([23]設定!$I52="",INDEX([23]第３表!$F$10:$Q$66,MATCH([23]設定!$D52,[23]第３表!$C$10:$C$66,0),12),[23]設定!$I52))</f>
        <v>15.2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IF($D77="","",IF([23]設定!$I53="",INDEX([23]第３表!$F$10:$Q$66,MATCH([23]設定!$D53,[23]第３表!$C$10:$C$66,0),1),[23]設定!$I53))</f>
        <v>19.600000000000001</v>
      </c>
      <c r="F77" s="69">
        <f>IF($D77="","",IF([23]設定!$I53="",INDEX([23]第３表!$F$10:$Q$66,MATCH([23]設定!$D53,[23]第３表!$C$10:$C$66,0),2),[23]設定!$I53))</f>
        <v>167.8</v>
      </c>
      <c r="G77" s="69">
        <f>IF($D77="","",IF([23]設定!$I53="",INDEX([23]第３表!$F$10:$Q$66,MATCH([23]設定!$D53,[23]第３表!$C$10:$C$66,0),3),[23]設定!$I53))</f>
        <v>151.19999999999999</v>
      </c>
      <c r="H77" s="69">
        <f>IF($D77="","",IF([23]設定!$I53="",INDEX([23]第３表!$F$10:$Q$66,MATCH([23]設定!$D53,[23]第３表!$C$10:$C$66,0),4),[23]設定!$I53))</f>
        <v>16.600000000000001</v>
      </c>
      <c r="I77" s="69">
        <f>IF($D77="","",IF([23]設定!$I53="",INDEX([23]第３表!$F$10:$Q$66,MATCH([23]設定!$D53,[23]第３表!$C$10:$C$66,0),5),[23]設定!$I53))</f>
        <v>19.8</v>
      </c>
      <c r="J77" s="69">
        <f>IF($D77="","",IF([23]設定!$I53="",INDEX([23]第３表!$F$10:$Q$66,MATCH([23]設定!$D53,[23]第３表!$C$10:$C$66,0),6),[23]設定!$I53))</f>
        <v>175</v>
      </c>
      <c r="K77" s="69">
        <f>IF($D77="","",IF([23]設定!$I53="",INDEX([23]第３表!$F$10:$Q$66,MATCH([23]設定!$D53,[23]第３表!$C$10:$C$66,0),7),[23]設定!$I53))</f>
        <v>155.69999999999999</v>
      </c>
      <c r="L77" s="69">
        <f>IF($D77="","",IF([23]設定!$I53="",INDEX([23]第３表!$F$10:$Q$66,MATCH([23]設定!$D53,[23]第３表!$C$10:$C$66,0),8),[23]設定!$I53))</f>
        <v>19.3</v>
      </c>
      <c r="M77" s="69">
        <f>IF($D77="","",IF([23]設定!$I53="",INDEX([23]第３表!$F$10:$Q$66,MATCH([23]設定!$D53,[23]第３表!$C$10:$C$66,0),9),[23]設定!$I53))</f>
        <v>19.100000000000001</v>
      </c>
      <c r="N77" s="69">
        <f>IF($D77="","",IF([23]設定!$I53="",INDEX([23]第３表!$F$10:$Q$66,MATCH([23]設定!$D53,[23]第３表!$C$10:$C$66,0),10),[23]設定!$I53))</f>
        <v>151.19999999999999</v>
      </c>
      <c r="O77" s="69">
        <f>IF($D77="","",IF([23]設定!$I53="",INDEX([23]第３表!$F$10:$Q$66,MATCH([23]設定!$D53,[23]第３表!$C$10:$C$66,0),11),[23]設定!$I53))</f>
        <v>140.80000000000001</v>
      </c>
      <c r="P77" s="69">
        <f>IF($D77="","",IF([23]設定!$I53="",INDEX([23]第３表!$F$10:$Q$66,MATCH([23]設定!$D53,[23]第３表!$C$10:$C$66,0),12),[23]設定!$I53))</f>
        <v>10.4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IF($D78="","",IF([23]設定!$I54="",INDEX([23]第３表!$F$10:$Q$66,MATCH([23]設定!$D54,[23]第３表!$C$10:$C$66,0),1),[23]設定!$I54))</f>
        <v>18.5</v>
      </c>
      <c r="F78" s="73">
        <f>IF($D78="","",IF([23]設定!$I54="",INDEX([23]第３表!$F$10:$Q$66,MATCH([23]設定!$D54,[23]第３表!$C$10:$C$66,0),2),[23]設定!$I54))</f>
        <v>150.69999999999999</v>
      </c>
      <c r="G78" s="73">
        <f>IF($D78="","",IF([23]設定!$I54="",INDEX([23]第３表!$F$10:$Q$66,MATCH([23]設定!$D54,[23]第３表!$C$10:$C$66,0),3),[23]設定!$I54))</f>
        <v>142.4</v>
      </c>
      <c r="H78" s="73">
        <f>IF($D78="","",IF([23]設定!$I54="",INDEX([23]第３表!$F$10:$Q$66,MATCH([23]設定!$D54,[23]第３表!$C$10:$C$66,0),4),[23]設定!$I54))</f>
        <v>8.3000000000000007</v>
      </c>
      <c r="I78" s="73">
        <f>IF($D78="","",IF([23]設定!$I54="",INDEX([23]第３表!$F$10:$Q$66,MATCH([23]設定!$D54,[23]第３表!$C$10:$C$66,0),5),[23]設定!$I54))</f>
        <v>18.8</v>
      </c>
      <c r="J78" s="73">
        <f>IF($D78="","",IF([23]設定!$I54="",INDEX([23]第３表!$F$10:$Q$66,MATCH([23]設定!$D54,[23]第３表!$C$10:$C$66,0),6),[23]設定!$I54))</f>
        <v>164.4</v>
      </c>
      <c r="K78" s="73">
        <f>IF($D78="","",IF([23]設定!$I54="",INDEX([23]第３表!$F$10:$Q$66,MATCH([23]設定!$D54,[23]第３表!$C$10:$C$66,0),7),[23]設定!$I54))</f>
        <v>152.30000000000001</v>
      </c>
      <c r="L78" s="73">
        <f>IF($D78="","",IF([23]設定!$I54="",INDEX([23]第３表!$F$10:$Q$66,MATCH([23]設定!$D54,[23]第３表!$C$10:$C$66,0),8),[23]設定!$I54))</f>
        <v>12.1</v>
      </c>
      <c r="M78" s="73">
        <f>IF($D78="","",IF([23]設定!$I54="",INDEX([23]第３表!$F$10:$Q$66,MATCH([23]設定!$D54,[23]第３表!$C$10:$C$66,0),9),[23]設定!$I54))</f>
        <v>18.2</v>
      </c>
      <c r="N78" s="73">
        <f>IF($D78="","",IF([23]設定!$I54="",INDEX([23]第３表!$F$10:$Q$66,MATCH([23]設定!$D54,[23]第３表!$C$10:$C$66,0),10),[23]設定!$I54))</f>
        <v>138.69999999999999</v>
      </c>
      <c r="O78" s="73">
        <f>IF($D78="","",IF([23]設定!$I54="",INDEX([23]第３表!$F$10:$Q$66,MATCH([23]設定!$D54,[23]第３表!$C$10:$C$66,0),11),[23]設定!$I54))</f>
        <v>133.80000000000001</v>
      </c>
      <c r="P78" s="73">
        <f>IF($D78="","",IF([23]設定!$I54="",INDEX([23]第３表!$F$10:$Q$66,MATCH([23]設定!$D54,[23]第３表!$C$10:$C$66,0),12),[23]設定!$I54))</f>
        <v>4.9000000000000004</v>
      </c>
    </row>
  </sheetData>
  <phoneticPr fontId="2"/>
  <printOptions horizontalCentered="1"/>
  <pageMargins left="0.78740157480314965" right="0.78740157480314965" top="0.78740157480314965" bottom="0.59055118110236227" header="0" footer="0.39370078740157483"/>
  <pageSetup paperSize="9" scale="55" orientation="portrait" blackAndWhite="1" cellComments="atEnd" r:id="rId1"/>
  <headerFooter scaleWithDoc="0" alignWithMargins="0">
    <oddFooter>&amp;C- 15 -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99A1B-C085-4D96-9768-3D4E75BD1EEE}">
  <sheetPr codeName="Sheet2"/>
  <dimension ref="A1:R78"/>
  <sheetViews>
    <sheetView showGridLines="0" view="pageBreakPreview" topLeftCell="A69" zoomScale="80" zoomScaleNormal="80" zoomScaleSheetLayoutView="80" workbookViewId="0">
      <selection activeCell="F86" sqref="F86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2.5976562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（"&amp;[3]設定!D8&amp;DBCS([3]設定!E8)&amp;"年"&amp;DBCS([3]設定!F8)&amp;"月）"</f>
        <v>　　    （令和５年２月）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+[4]第５表!B9</f>
        <v>TL</v>
      </c>
      <c r="C9" s="46"/>
      <c r="D9" s="47" t="str">
        <f>+[4]第５表!D9</f>
        <v>調査産業計</v>
      </c>
      <c r="E9" s="48">
        <f>IF($D9="","",IF([3]設定!$H23="",INDEX([3]第３表!$F$80:$Q$136,MATCH([3]設定!$D23,[3]第３表!$C$80:$C$136,0),1),[3]設定!$H23))</f>
        <v>18.100000000000001</v>
      </c>
      <c r="F9" s="48">
        <f>IF($D9="","",IF([3]設定!$H23="",INDEX([3]第３表!$F$80:$Q$136,MATCH([3]設定!$D23,[3]第３表!$C$80:$C$136,0),2),[3]設定!$H23))</f>
        <v>137.30000000000001</v>
      </c>
      <c r="G9" s="48">
        <f>IF($D9="","",IF([3]設定!$H23="",INDEX([3]第３表!$F$80:$Q$136,MATCH([3]設定!$D23,[3]第３表!$C$80:$C$136,0),3),[3]設定!$H23))</f>
        <v>128.4</v>
      </c>
      <c r="H9" s="48">
        <f>IF($D9="","",IF([3]設定!$H23="",INDEX([3]第３表!$F$80:$Q$136,MATCH([3]設定!$D23,[3]第３表!$C$80:$C$136,0),4),[3]設定!$H23))</f>
        <v>8.9</v>
      </c>
      <c r="I9" s="48">
        <f>IF($D9="","",IF([3]設定!$H23="",INDEX([3]第３表!$F$80:$Q$136,MATCH([3]設定!$D23,[3]第３表!$C$80:$C$136,0),5),[3]設定!$H23))</f>
        <v>18.600000000000001</v>
      </c>
      <c r="J9" s="48">
        <f>IF($D9="","",IF([3]設定!$H23="",INDEX([3]第３表!$F$80:$Q$136,MATCH([3]設定!$D23,[3]第３表!$C$80:$C$136,0),6),[3]設定!$H23))</f>
        <v>149.69999999999999</v>
      </c>
      <c r="K9" s="48">
        <f>IF($D9="","",IF([3]設定!$H23="",INDEX([3]第３表!$F$80:$Q$136,MATCH([3]設定!$D23,[3]第３表!$C$80:$C$136,0),7),[3]設定!$H23))</f>
        <v>136.80000000000001</v>
      </c>
      <c r="L9" s="48">
        <f>IF($D9="","",IF([3]設定!$H23="",INDEX([3]第３表!$F$80:$Q$136,MATCH([3]設定!$D23,[3]第３表!$C$80:$C$136,0),8),[3]設定!$H23))</f>
        <v>12.9</v>
      </c>
      <c r="M9" s="48">
        <f>IF($D9="","",IF([3]設定!$H23="",INDEX([3]第３表!$F$80:$Q$136,MATCH([3]設定!$D23,[3]第３表!$C$80:$C$136,0),9),[3]設定!$H23))</f>
        <v>17.600000000000001</v>
      </c>
      <c r="N9" s="48">
        <f>IF($D9="","",IF([3]設定!$H23="",INDEX([3]第３表!$F$80:$Q$136,MATCH([3]設定!$D23,[3]第３表!$C$80:$C$136,0),10),[3]設定!$H23))</f>
        <v>125.2</v>
      </c>
      <c r="O9" s="48">
        <f>IF($D9="","",IF([3]設定!$H23="",INDEX([3]第３表!$F$80:$Q$136,MATCH([3]設定!$D23,[3]第３表!$C$80:$C$136,0),11),[3]設定!$H23))</f>
        <v>120.2</v>
      </c>
      <c r="P9" s="48">
        <f>IF($D9="","",IF([3]設定!$H23="",INDEX([3]第３表!$F$80:$Q$136,MATCH([3]設定!$D23,[3]第３表!$C$80:$C$136,0),12),[3]設定!$H23))</f>
        <v>5</v>
      </c>
    </row>
    <row r="10" spans="1:18" s="8" customFormat="1" ht="17.25" customHeight="1" x14ac:dyDescent="0.45">
      <c r="B10" s="49" t="str">
        <f>+[4]第５表!B10</f>
        <v>D</v>
      </c>
      <c r="C10" s="50"/>
      <c r="D10" s="51" t="str">
        <f>+[4]第５表!D10</f>
        <v>建設業</v>
      </c>
      <c r="E10" s="52">
        <f>IF($D10="","",IF([3]設定!$H24="",INDEX([3]第３表!$F$80:$Q$136,MATCH([3]設定!$D24,[3]第３表!$C$80:$C$136,0),1),[3]設定!$H24))</f>
        <v>20.3</v>
      </c>
      <c r="F10" s="52">
        <f>IF($D10="","",IF([3]設定!$H24="",INDEX([3]第３表!$F$80:$Q$136,MATCH([3]設定!$D24,[3]第３表!$C$80:$C$136,0),2),[3]設定!$H24))</f>
        <v>156.69999999999999</v>
      </c>
      <c r="G10" s="52">
        <f>IF($D10="","",IF([3]設定!$H24="",INDEX([3]第３表!$F$80:$Q$136,MATCH([3]設定!$D24,[3]第３表!$C$80:$C$136,0),3),[3]設定!$H24))</f>
        <v>148.1</v>
      </c>
      <c r="H10" s="53">
        <f>IF($D10="","",IF([3]設定!$H24="",INDEX([3]第３表!$F$80:$Q$136,MATCH([3]設定!$D24,[3]第３表!$C$80:$C$136,0),4),[3]設定!$H24))</f>
        <v>8.6</v>
      </c>
      <c r="I10" s="54">
        <f>IF($D10="","",IF([3]設定!$H24="",INDEX([3]第３表!$F$80:$Q$136,MATCH([3]設定!$D24,[3]第３表!$C$80:$C$136,0),5),[3]設定!$H24))</f>
        <v>20.399999999999999</v>
      </c>
      <c r="J10" s="54">
        <f>IF($D10="","",IF([3]設定!$H24="",INDEX([3]第３表!$F$80:$Q$136,MATCH([3]設定!$D24,[3]第３表!$C$80:$C$136,0),6),[3]設定!$H24))</f>
        <v>159.80000000000001</v>
      </c>
      <c r="K10" s="54">
        <f>IF($D10="","",IF([3]設定!$H24="",INDEX([3]第３表!$F$80:$Q$136,MATCH([3]設定!$D24,[3]第３表!$C$80:$C$136,0),7),[3]設定!$H24))</f>
        <v>150.19999999999999</v>
      </c>
      <c r="L10" s="55">
        <f>IF($D10="","",IF([3]設定!$H24="",INDEX([3]第３表!$F$80:$Q$136,MATCH([3]設定!$D24,[3]第３表!$C$80:$C$136,0),8),[3]設定!$H24))</f>
        <v>9.6</v>
      </c>
      <c r="M10" s="56">
        <f>IF($D10="","",IF([3]設定!$H24="",INDEX([3]第３表!$F$80:$Q$136,MATCH([3]設定!$D24,[3]第３表!$C$80:$C$136,0),9),[3]設定!$H24))</f>
        <v>19.8</v>
      </c>
      <c r="N10" s="56">
        <f>IF($D10="","",IF([3]設定!$H24="",INDEX([3]第３表!$F$80:$Q$136,MATCH([3]設定!$D24,[3]第３表!$C$80:$C$136,0),10),[3]設定!$H24))</f>
        <v>139.80000000000001</v>
      </c>
      <c r="O10" s="56">
        <f>IF($D10="","",IF([3]設定!$H24="",INDEX([3]第３表!$F$80:$Q$136,MATCH([3]設定!$D24,[3]第３表!$C$80:$C$136,0),11),[3]設定!$H24))</f>
        <v>136.4</v>
      </c>
      <c r="P10" s="57">
        <f>IF($D10="","",IF([3]設定!$H24="",INDEX([3]第３表!$F$80:$Q$136,MATCH([3]設定!$D24,[3]第３表!$C$80:$C$136,0),12),[3]設定!$H24))</f>
        <v>3.4</v>
      </c>
    </row>
    <row r="11" spans="1:18" s="8" customFormat="1" ht="17.25" customHeight="1" x14ac:dyDescent="0.45">
      <c r="B11" s="49" t="str">
        <f>+[4]第５表!B11</f>
        <v>E</v>
      </c>
      <c r="C11" s="50"/>
      <c r="D11" s="51" t="str">
        <f>+[4]第５表!D11</f>
        <v>製造業</v>
      </c>
      <c r="E11" s="52">
        <f>IF($D11="","",IF([3]設定!$H25="",INDEX([3]第３表!$F$80:$Q$136,MATCH([3]設定!$D25,[3]第３表!$C$80:$C$136,0),1),[3]設定!$H25))</f>
        <v>19.2</v>
      </c>
      <c r="F11" s="52">
        <f>IF($D11="","",IF([3]設定!$H25="",INDEX([3]第３表!$F$80:$Q$136,MATCH([3]設定!$D25,[3]第３表!$C$80:$C$136,0),2),[3]設定!$H25))</f>
        <v>156.4</v>
      </c>
      <c r="G11" s="52">
        <f>IF($D11="","",IF([3]設定!$H25="",INDEX([3]第３表!$F$80:$Q$136,MATCH([3]設定!$D25,[3]第３表!$C$80:$C$136,0),3),[3]設定!$H25))</f>
        <v>143.9</v>
      </c>
      <c r="H11" s="53">
        <f>IF($D11="","",IF([3]設定!$H25="",INDEX([3]第３表!$F$80:$Q$136,MATCH([3]設定!$D25,[3]第３表!$C$80:$C$136,0),4),[3]設定!$H25))</f>
        <v>12.5</v>
      </c>
      <c r="I11" s="54">
        <f>IF($D11="","",IF([3]設定!$H25="",INDEX([3]第３表!$F$80:$Q$136,MATCH([3]設定!$D25,[3]第３表!$C$80:$C$136,0),5),[3]設定!$H25))</f>
        <v>19.399999999999999</v>
      </c>
      <c r="J11" s="54">
        <f>IF($D11="","",IF([3]設定!$H25="",INDEX([3]第３表!$F$80:$Q$136,MATCH([3]設定!$D25,[3]第３表!$C$80:$C$136,0),6),[3]設定!$H25))</f>
        <v>164.8</v>
      </c>
      <c r="K11" s="54">
        <f>IF($D11="","",IF([3]設定!$H25="",INDEX([3]第３表!$F$80:$Q$136,MATCH([3]設定!$D25,[3]第３表!$C$80:$C$136,0),7),[3]設定!$H25))</f>
        <v>148.4</v>
      </c>
      <c r="L11" s="55">
        <f>IF($D11="","",IF([3]設定!$H25="",INDEX([3]第３表!$F$80:$Q$136,MATCH([3]設定!$D25,[3]第３表!$C$80:$C$136,0),8),[3]設定!$H25))</f>
        <v>16.399999999999999</v>
      </c>
      <c r="M11" s="56">
        <f>IF($D11="","",IF([3]設定!$H25="",INDEX([3]第３表!$F$80:$Q$136,MATCH([3]設定!$D25,[3]第３表!$C$80:$C$136,0),9),[3]設定!$H25))</f>
        <v>18.899999999999999</v>
      </c>
      <c r="N11" s="56">
        <f>IF($D11="","",IF([3]設定!$H25="",INDEX([3]第３表!$F$80:$Q$136,MATCH([3]設定!$D25,[3]第３表!$C$80:$C$136,0),10),[3]設定!$H25))</f>
        <v>144.6</v>
      </c>
      <c r="O11" s="56">
        <f>IF($D11="","",IF([3]設定!$H25="",INDEX([3]第３表!$F$80:$Q$136,MATCH([3]設定!$D25,[3]第３表!$C$80:$C$136,0),11),[3]設定!$H25))</f>
        <v>137.6</v>
      </c>
      <c r="P11" s="57">
        <f>IF($D11="","",IF([3]設定!$H25="",INDEX([3]第３表!$F$80:$Q$136,MATCH([3]設定!$D25,[3]第３表!$C$80:$C$136,0),12),[3]設定!$H25))</f>
        <v>7</v>
      </c>
    </row>
    <row r="12" spans="1:18" s="8" customFormat="1" ht="17.25" customHeight="1" x14ac:dyDescent="0.45">
      <c r="B12" s="49" t="str">
        <f>+[4]第５表!B12</f>
        <v>F</v>
      </c>
      <c r="C12" s="50"/>
      <c r="D12" s="58" t="str">
        <f>+[4]第５表!D12</f>
        <v>電気・ガス・熱供給・水道業</v>
      </c>
      <c r="E12" s="52">
        <f>IF($D12="","",IF([3]設定!$H26="",INDEX([3]第３表!$F$80:$Q$136,MATCH([3]設定!$D26,[3]第３表!$C$80:$C$136,0),1),[3]設定!$H26))</f>
        <v>17.2</v>
      </c>
      <c r="F12" s="52">
        <f>IF($D12="","",IF([3]設定!$H26="",INDEX([3]第３表!$F$80:$Q$136,MATCH([3]設定!$D26,[3]第３表!$C$80:$C$136,0),2),[3]設定!$H26))</f>
        <v>140.19999999999999</v>
      </c>
      <c r="G12" s="52">
        <f>IF($D12="","",IF([3]設定!$H26="",INDEX([3]第３表!$F$80:$Q$136,MATCH([3]設定!$D26,[3]第３表!$C$80:$C$136,0),3),[3]設定!$H26))</f>
        <v>127.6</v>
      </c>
      <c r="H12" s="53">
        <f>IF($D12="","",IF([3]設定!$H26="",INDEX([3]第３表!$F$80:$Q$136,MATCH([3]設定!$D26,[3]第３表!$C$80:$C$136,0),4),[3]設定!$H26))</f>
        <v>12.6</v>
      </c>
      <c r="I12" s="54">
        <f>IF($D12="","",IF([3]設定!$H26="",INDEX([3]第３表!$F$80:$Q$136,MATCH([3]設定!$D26,[3]第３表!$C$80:$C$136,0),5),[3]設定!$H26))</f>
        <v>17.3</v>
      </c>
      <c r="J12" s="54">
        <f>IF($D12="","",IF([3]設定!$H26="",INDEX([3]第３表!$F$80:$Q$136,MATCH([3]設定!$D26,[3]第３表!$C$80:$C$136,0),6),[3]設定!$H26))</f>
        <v>142.5</v>
      </c>
      <c r="K12" s="54">
        <f>IF($D12="","",IF([3]設定!$H26="",INDEX([3]第３表!$F$80:$Q$136,MATCH([3]設定!$D26,[3]第３表!$C$80:$C$136,0),7),[3]設定!$H26))</f>
        <v>128.80000000000001</v>
      </c>
      <c r="L12" s="55">
        <f>IF($D12="","",IF([3]設定!$H26="",INDEX([3]第３表!$F$80:$Q$136,MATCH([3]設定!$D26,[3]第３表!$C$80:$C$136,0),8),[3]設定!$H26))</f>
        <v>13.7</v>
      </c>
      <c r="M12" s="56">
        <f>IF($D12="","",IF([3]設定!$H26="",INDEX([3]第３表!$F$80:$Q$136,MATCH([3]設定!$D26,[3]第３表!$C$80:$C$136,0),9),[3]設定!$H26))</f>
        <v>16.8</v>
      </c>
      <c r="N12" s="56">
        <f>IF($D12="","",IF([3]設定!$H26="",INDEX([3]第３表!$F$80:$Q$136,MATCH([3]設定!$D26,[3]第３表!$C$80:$C$136,0),10),[3]設定!$H26))</f>
        <v>125.1</v>
      </c>
      <c r="O12" s="56">
        <f>IF($D12="","",IF([3]設定!$H26="",INDEX([3]第３表!$F$80:$Q$136,MATCH([3]設定!$D26,[3]第３表!$C$80:$C$136,0),11),[3]設定!$H26))</f>
        <v>120</v>
      </c>
      <c r="P12" s="57">
        <f>IF($D12="","",IF([3]設定!$H26="",INDEX([3]第３表!$F$80:$Q$136,MATCH([3]設定!$D26,[3]第３表!$C$80:$C$136,0),12),[3]設定!$H26))</f>
        <v>5.0999999999999996</v>
      </c>
    </row>
    <row r="13" spans="1:18" s="8" customFormat="1" ht="17.25" customHeight="1" x14ac:dyDescent="0.45">
      <c r="B13" s="49" t="str">
        <f>+[4]第５表!B13</f>
        <v>G</v>
      </c>
      <c r="C13" s="50"/>
      <c r="D13" s="51" t="str">
        <f>+[4]第５表!D13</f>
        <v>情報通信業</v>
      </c>
      <c r="E13" s="52">
        <f>IF($D13="","",IF([3]設定!$H27="",INDEX([3]第３表!$F$80:$Q$136,MATCH([3]設定!$D27,[3]第３表!$C$80:$C$136,0),1),[3]設定!$H27))</f>
        <v>18.100000000000001</v>
      </c>
      <c r="F13" s="52">
        <f>IF($D13="","",IF([3]設定!$H27="",INDEX([3]第３表!$F$80:$Q$136,MATCH([3]設定!$D27,[3]第３表!$C$80:$C$136,0),2),[3]設定!$H27))</f>
        <v>150.4</v>
      </c>
      <c r="G13" s="52">
        <f>IF($D13="","",IF([3]設定!$H27="",INDEX([3]第３表!$F$80:$Q$136,MATCH([3]設定!$D27,[3]第３表!$C$80:$C$136,0),3),[3]設定!$H27))</f>
        <v>139.6</v>
      </c>
      <c r="H13" s="53">
        <f>IF($D13="","",IF([3]設定!$H27="",INDEX([3]第３表!$F$80:$Q$136,MATCH([3]設定!$D27,[3]第３表!$C$80:$C$136,0),4),[3]設定!$H27))</f>
        <v>10.8</v>
      </c>
      <c r="I13" s="54">
        <f>IF($D13="","",IF([3]設定!$H27="",INDEX([3]第３表!$F$80:$Q$136,MATCH([3]設定!$D27,[3]第３表!$C$80:$C$136,0),5),[3]設定!$H27))</f>
        <v>18.3</v>
      </c>
      <c r="J13" s="54">
        <f>IF($D13="","",IF([3]設定!$H27="",INDEX([3]第３表!$F$80:$Q$136,MATCH([3]設定!$D27,[3]第３表!$C$80:$C$136,0),6),[3]設定!$H27))</f>
        <v>152.5</v>
      </c>
      <c r="K13" s="54">
        <f>IF($D13="","",IF([3]設定!$H27="",INDEX([3]第３表!$F$80:$Q$136,MATCH([3]設定!$D27,[3]第３表!$C$80:$C$136,0),7),[3]設定!$H27))</f>
        <v>140.69999999999999</v>
      </c>
      <c r="L13" s="55">
        <f>IF($D13="","",IF([3]設定!$H27="",INDEX([3]第３表!$F$80:$Q$136,MATCH([3]設定!$D27,[3]第３表!$C$80:$C$136,0),8),[3]設定!$H27))</f>
        <v>11.8</v>
      </c>
      <c r="M13" s="56">
        <f>IF($D13="","",IF([3]設定!$H27="",INDEX([3]第３表!$F$80:$Q$136,MATCH([3]設定!$D27,[3]第３表!$C$80:$C$136,0),9),[3]設定!$H27))</f>
        <v>17.8</v>
      </c>
      <c r="N13" s="56">
        <f>IF($D13="","",IF([3]設定!$H27="",INDEX([3]第３表!$F$80:$Q$136,MATCH([3]設定!$D27,[3]第３表!$C$80:$C$136,0),10),[3]設定!$H27))</f>
        <v>145.9</v>
      </c>
      <c r="O13" s="56">
        <f>IF($D13="","",IF([3]設定!$H27="",INDEX([3]第３表!$F$80:$Q$136,MATCH([3]設定!$D27,[3]第３表!$C$80:$C$136,0),11),[3]設定!$H27))</f>
        <v>137.30000000000001</v>
      </c>
      <c r="P13" s="57">
        <f>IF($D13="","",IF([3]設定!$H27="",INDEX([3]第３表!$F$80:$Q$136,MATCH([3]設定!$D27,[3]第３表!$C$80:$C$136,0),12),[3]設定!$H27))</f>
        <v>8.6</v>
      </c>
    </row>
    <row r="14" spans="1:18" s="8" customFormat="1" ht="17.25" customHeight="1" x14ac:dyDescent="0.45">
      <c r="B14" s="49" t="str">
        <f>+[4]第５表!B14</f>
        <v>H</v>
      </c>
      <c r="C14" s="50"/>
      <c r="D14" s="51" t="str">
        <f>+[4]第５表!D14</f>
        <v>運輸業，郵便業</v>
      </c>
      <c r="E14" s="52">
        <f>IF($D14="","",IF([3]設定!$H28="",INDEX([3]第３表!$F$80:$Q$136,MATCH([3]設定!$D28,[3]第３表!$C$80:$C$136,0),1),[3]設定!$H28))</f>
        <v>19.399999999999999</v>
      </c>
      <c r="F14" s="52">
        <f>IF($D14="","",IF([3]設定!$H28="",INDEX([3]第３表!$F$80:$Q$136,MATCH([3]設定!$D28,[3]第３表!$C$80:$C$136,0),2),[3]設定!$H28))</f>
        <v>172.7</v>
      </c>
      <c r="G14" s="52">
        <f>IF($D14="","",IF([3]設定!$H28="",INDEX([3]第３表!$F$80:$Q$136,MATCH([3]設定!$D28,[3]第３表!$C$80:$C$136,0),3),[3]設定!$H28))</f>
        <v>145.1</v>
      </c>
      <c r="H14" s="53">
        <f>IF($D14="","",IF([3]設定!$H28="",INDEX([3]第３表!$F$80:$Q$136,MATCH([3]設定!$D28,[3]第３表!$C$80:$C$136,0),4),[3]設定!$H28))</f>
        <v>27.6</v>
      </c>
      <c r="I14" s="54">
        <f>IF($D14="","",IF([3]設定!$H28="",INDEX([3]第３表!$F$80:$Q$136,MATCH([3]設定!$D28,[3]第３表!$C$80:$C$136,0),5),[3]設定!$H28))</f>
        <v>19.899999999999999</v>
      </c>
      <c r="J14" s="54">
        <f>IF($D14="","",IF([3]設定!$H28="",INDEX([3]第３表!$F$80:$Q$136,MATCH([3]設定!$D28,[3]第３表!$C$80:$C$136,0),6),[3]設定!$H28))</f>
        <v>180.4</v>
      </c>
      <c r="K14" s="54">
        <f>IF($D14="","",IF([3]設定!$H28="",INDEX([3]第３表!$F$80:$Q$136,MATCH([3]設定!$D28,[3]第３表!$C$80:$C$136,0),7),[3]設定!$H28))</f>
        <v>149</v>
      </c>
      <c r="L14" s="55">
        <f>IF($D14="","",IF([3]設定!$H28="",INDEX([3]第３表!$F$80:$Q$136,MATCH([3]設定!$D28,[3]第３表!$C$80:$C$136,0),8),[3]設定!$H28))</f>
        <v>31.4</v>
      </c>
      <c r="M14" s="56">
        <f>IF($D14="","",IF([3]設定!$H28="",INDEX([3]第３表!$F$80:$Q$136,MATCH([3]設定!$D28,[3]第３表!$C$80:$C$136,0),9),[3]設定!$H28))</f>
        <v>17.100000000000001</v>
      </c>
      <c r="N14" s="56">
        <f>IF($D14="","",IF([3]設定!$H28="",INDEX([3]第３表!$F$80:$Q$136,MATCH([3]設定!$D28,[3]第３表!$C$80:$C$136,0),10),[3]設定!$H28))</f>
        <v>132.30000000000001</v>
      </c>
      <c r="O14" s="56">
        <f>IF($D14="","",IF([3]設定!$H28="",INDEX([3]第３表!$F$80:$Q$136,MATCH([3]設定!$D28,[3]第３表!$C$80:$C$136,0),11),[3]設定!$H28))</f>
        <v>124.8</v>
      </c>
      <c r="P14" s="57">
        <f>IF($D14="","",IF([3]設定!$H28="",INDEX([3]第３表!$F$80:$Q$136,MATCH([3]設定!$D28,[3]第３表!$C$80:$C$136,0),12),[3]設定!$H28))</f>
        <v>7.5</v>
      </c>
    </row>
    <row r="15" spans="1:18" s="8" customFormat="1" ht="17.25" customHeight="1" x14ac:dyDescent="0.45">
      <c r="B15" s="49" t="str">
        <f>+[4]第５表!B15</f>
        <v>I</v>
      </c>
      <c r="C15" s="50"/>
      <c r="D15" s="51" t="str">
        <f>+[4]第５表!D15</f>
        <v>卸売業，小売業</v>
      </c>
      <c r="E15" s="52">
        <f>IF($D15="","",IF([3]設定!$H29="",INDEX([3]第３表!$F$80:$Q$136,MATCH([3]設定!$D29,[3]第３表!$C$80:$C$136,0),1),[3]設定!$H29))</f>
        <v>18.100000000000001</v>
      </c>
      <c r="F15" s="52">
        <f>IF($D15="","",IF([3]設定!$H29="",INDEX([3]第３表!$F$80:$Q$136,MATCH([3]設定!$D29,[3]第３表!$C$80:$C$136,0),2),[3]設定!$H29))</f>
        <v>132.9</v>
      </c>
      <c r="G15" s="52">
        <f>IF($D15="","",IF([3]設定!$H29="",INDEX([3]第３表!$F$80:$Q$136,MATCH([3]設定!$D29,[3]第３表!$C$80:$C$136,0),3),[3]設定!$H29))</f>
        <v>125.8</v>
      </c>
      <c r="H15" s="53">
        <f>IF($D15="","",IF([3]設定!$H29="",INDEX([3]第３表!$F$80:$Q$136,MATCH([3]設定!$D29,[3]第３表!$C$80:$C$136,0),4),[3]設定!$H29))</f>
        <v>7.1</v>
      </c>
      <c r="I15" s="54">
        <f>IF($D15="","",IF([3]設定!$H29="",INDEX([3]第３表!$F$80:$Q$136,MATCH([3]設定!$D29,[3]第３表!$C$80:$C$136,0),5),[3]設定!$H29))</f>
        <v>18.399999999999999</v>
      </c>
      <c r="J15" s="54">
        <f>IF($D15="","",IF([3]設定!$H29="",INDEX([3]第３表!$F$80:$Q$136,MATCH([3]設定!$D29,[3]第３表!$C$80:$C$136,0),6),[3]設定!$H29))</f>
        <v>147.80000000000001</v>
      </c>
      <c r="K15" s="54">
        <f>IF($D15="","",IF([3]設定!$H29="",INDEX([3]第３表!$F$80:$Q$136,MATCH([3]設定!$D29,[3]第３表!$C$80:$C$136,0),7),[3]設定!$H29))</f>
        <v>137.6</v>
      </c>
      <c r="L15" s="55">
        <f>IF($D15="","",IF([3]設定!$H29="",INDEX([3]第３表!$F$80:$Q$136,MATCH([3]設定!$D29,[3]第３表!$C$80:$C$136,0),8),[3]設定!$H29))</f>
        <v>10.199999999999999</v>
      </c>
      <c r="M15" s="56">
        <f>IF($D15="","",IF([3]設定!$H29="",INDEX([3]第３表!$F$80:$Q$136,MATCH([3]設定!$D29,[3]第３表!$C$80:$C$136,0),9),[3]設定!$H29))</f>
        <v>17.7</v>
      </c>
      <c r="N15" s="56">
        <f>IF($D15="","",IF([3]設定!$H29="",INDEX([3]第３表!$F$80:$Q$136,MATCH([3]設定!$D29,[3]第３表!$C$80:$C$136,0),10),[3]設定!$H29))</f>
        <v>116.2</v>
      </c>
      <c r="O15" s="56">
        <f>IF($D15="","",IF([3]設定!$H29="",INDEX([3]第３表!$F$80:$Q$136,MATCH([3]設定!$D29,[3]第３表!$C$80:$C$136,0),11),[3]設定!$H29))</f>
        <v>112.5</v>
      </c>
      <c r="P15" s="57">
        <f>IF($D15="","",IF([3]設定!$H29="",INDEX([3]第３表!$F$80:$Q$136,MATCH([3]設定!$D29,[3]第３表!$C$80:$C$136,0),12),[3]設定!$H29))</f>
        <v>3.7</v>
      </c>
    </row>
    <row r="16" spans="1:18" s="8" customFormat="1" ht="17.25" customHeight="1" x14ac:dyDescent="0.45">
      <c r="B16" s="49" t="str">
        <f>+[4]第５表!B16</f>
        <v>J</v>
      </c>
      <c r="C16" s="50"/>
      <c r="D16" s="51" t="str">
        <f>+[4]第５表!D16</f>
        <v>金融業，保険業</v>
      </c>
      <c r="E16" s="52">
        <f>IF($D16="","",IF([3]設定!$H30="",INDEX([3]第３表!$F$80:$Q$136,MATCH([3]設定!$D30,[3]第３表!$C$80:$C$136,0),1),[3]設定!$H30))</f>
        <v>16.899999999999999</v>
      </c>
      <c r="F16" s="52">
        <f>IF($D16="","",IF([3]設定!$H30="",INDEX([3]第３表!$F$80:$Q$136,MATCH([3]設定!$D30,[3]第３表!$C$80:$C$136,0),2),[3]設定!$H30))</f>
        <v>129.6</v>
      </c>
      <c r="G16" s="52">
        <f>IF($D16="","",IF([3]設定!$H30="",INDEX([3]第３表!$F$80:$Q$136,MATCH([3]設定!$D30,[3]第３表!$C$80:$C$136,0),3),[3]設定!$H30))</f>
        <v>125.3</v>
      </c>
      <c r="H16" s="53">
        <f>IF($D16="","",IF([3]設定!$H30="",INDEX([3]第３表!$F$80:$Q$136,MATCH([3]設定!$D30,[3]第３表!$C$80:$C$136,0),4),[3]設定!$H30))</f>
        <v>4.3</v>
      </c>
      <c r="I16" s="54">
        <f>IF($D16="","",IF([3]設定!$H30="",INDEX([3]第３表!$F$80:$Q$136,MATCH([3]設定!$D30,[3]第３表!$C$80:$C$136,0),5),[3]設定!$H30))</f>
        <v>17.399999999999999</v>
      </c>
      <c r="J16" s="54">
        <f>IF($D16="","",IF([3]設定!$H30="",INDEX([3]第３表!$F$80:$Q$136,MATCH([3]設定!$D30,[3]第３表!$C$80:$C$136,0),6),[3]設定!$H30))</f>
        <v>136.5</v>
      </c>
      <c r="K16" s="54">
        <f>IF($D16="","",IF([3]設定!$H30="",INDEX([3]第３表!$F$80:$Q$136,MATCH([3]設定!$D30,[3]第３表!$C$80:$C$136,0),7),[3]設定!$H30))</f>
        <v>130.6</v>
      </c>
      <c r="L16" s="55">
        <f>IF($D16="","",IF([3]設定!$H30="",INDEX([3]第３表!$F$80:$Q$136,MATCH([3]設定!$D30,[3]第３表!$C$80:$C$136,0),8),[3]設定!$H30))</f>
        <v>5.9</v>
      </c>
      <c r="M16" s="56">
        <f>IF($D16="","",IF([3]設定!$H30="",INDEX([3]第３表!$F$80:$Q$136,MATCH([3]設定!$D30,[3]第３表!$C$80:$C$136,0),9),[3]設定!$H30))</f>
        <v>16.2</v>
      </c>
      <c r="N16" s="56">
        <f>IF($D16="","",IF([3]設定!$H30="",INDEX([3]第３表!$F$80:$Q$136,MATCH([3]設定!$D30,[3]第３表!$C$80:$C$136,0),10),[3]設定!$H30))</f>
        <v>119.8</v>
      </c>
      <c r="O16" s="56">
        <f>IF($D16="","",IF([3]設定!$H30="",INDEX([3]第３表!$F$80:$Q$136,MATCH([3]設定!$D30,[3]第３表!$C$80:$C$136,0),11),[3]設定!$H30))</f>
        <v>117.7</v>
      </c>
      <c r="P16" s="57">
        <f>IF($D16="","",IF([3]設定!$H30="",INDEX([3]第３表!$F$80:$Q$136,MATCH([3]設定!$D30,[3]第３表!$C$80:$C$136,0),12),[3]設定!$H30))</f>
        <v>2.1</v>
      </c>
    </row>
    <row r="17" spans="2:16" s="8" customFormat="1" ht="17.25" customHeight="1" x14ac:dyDescent="0.45">
      <c r="B17" s="49" t="str">
        <f>+[4]第５表!B17</f>
        <v>K</v>
      </c>
      <c r="C17" s="50"/>
      <c r="D17" s="51" t="str">
        <f>+[4]第５表!D17</f>
        <v>不動産業，物品賃貸業</v>
      </c>
      <c r="E17" s="52">
        <f>IF($D17="","",IF([3]設定!$H31="",INDEX([3]第３表!$F$80:$Q$136,MATCH([3]設定!$D31,[3]第３表!$C$80:$C$136,0),1),[3]設定!$H31))</f>
        <v>16</v>
      </c>
      <c r="F17" s="52">
        <f>IF($D17="","",IF([3]設定!$H31="",INDEX([3]第３表!$F$80:$Q$136,MATCH([3]設定!$D31,[3]第３表!$C$80:$C$136,0),2),[3]設定!$H31))</f>
        <v>108.6</v>
      </c>
      <c r="G17" s="52">
        <f>IF($D17="","",IF([3]設定!$H31="",INDEX([3]第３表!$F$80:$Q$136,MATCH([3]設定!$D31,[3]第３表!$C$80:$C$136,0),3),[3]設定!$H31))</f>
        <v>105.8</v>
      </c>
      <c r="H17" s="52">
        <f>IF($D17="","",IF([3]設定!$H31="",INDEX([3]第３表!$F$80:$Q$136,MATCH([3]設定!$D31,[3]第３表!$C$80:$C$136,0),4),[3]設定!$H31))</f>
        <v>2.8</v>
      </c>
      <c r="I17" s="54">
        <f>IF($D17="","",IF([3]設定!$H31="",INDEX([3]第３表!$F$80:$Q$136,MATCH([3]設定!$D31,[3]第３表!$C$80:$C$136,0),5),[3]設定!$H31))</f>
        <v>19.600000000000001</v>
      </c>
      <c r="J17" s="54">
        <f>IF($D17="","",IF([3]設定!$H31="",INDEX([3]第３表!$F$80:$Q$136,MATCH([3]設定!$D31,[3]第３表!$C$80:$C$136,0),6),[3]設定!$H31))</f>
        <v>155</v>
      </c>
      <c r="K17" s="54">
        <f>IF($D17="","",IF([3]設定!$H31="",INDEX([3]第３表!$F$80:$Q$136,MATCH([3]設定!$D31,[3]第３表!$C$80:$C$136,0),7),[3]設定!$H31))</f>
        <v>148.80000000000001</v>
      </c>
      <c r="L17" s="55">
        <f>IF($D17="","",IF([3]設定!$H31="",INDEX([3]第３表!$F$80:$Q$136,MATCH([3]設定!$D31,[3]第３表!$C$80:$C$136,0),8),[3]設定!$H31))</f>
        <v>6.2</v>
      </c>
      <c r="M17" s="56">
        <f>IF($D17="","",IF([3]設定!$H31="",INDEX([3]第３表!$F$80:$Q$136,MATCH([3]設定!$D31,[3]第３表!$C$80:$C$136,0),9),[3]設定!$H31))</f>
        <v>13.9</v>
      </c>
      <c r="N17" s="56">
        <f>IF($D17="","",IF([3]設定!$H31="",INDEX([3]第３表!$F$80:$Q$136,MATCH([3]設定!$D31,[3]第３表!$C$80:$C$136,0),10),[3]設定!$H31))</f>
        <v>80.8</v>
      </c>
      <c r="O17" s="56">
        <f>IF($D17="","",IF([3]設定!$H31="",INDEX([3]第３表!$F$80:$Q$136,MATCH([3]設定!$D31,[3]第３表!$C$80:$C$136,0),11),[3]設定!$H31))</f>
        <v>80.099999999999994</v>
      </c>
      <c r="P17" s="57">
        <f>IF($D17="","",IF([3]設定!$H31="",INDEX([3]第３表!$F$80:$Q$136,MATCH([3]設定!$D31,[3]第３表!$C$80:$C$136,0),12),[3]設定!$H31))</f>
        <v>0.7</v>
      </c>
    </row>
    <row r="18" spans="2:16" s="8" customFormat="1" ht="17.25" customHeight="1" x14ac:dyDescent="0.45">
      <c r="B18" s="49" t="str">
        <f>+[4]第５表!B18</f>
        <v>L</v>
      </c>
      <c r="C18" s="50"/>
      <c r="D18" s="59" t="str">
        <f>+[4]第５表!D18</f>
        <v>学術研究，専門・技術サービス業</v>
      </c>
      <c r="E18" s="52">
        <f>IF($D18="","",IF([3]設定!$H32="",INDEX([3]第３表!$F$80:$Q$136,MATCH([3]設定!$D32,[3]第３表!$C$80:$C$136,0),1),[3]設定!$H32))</f>
        <v>18.8</v>
      </c>
      <c r="F18" s="52">
        <f>IF($D18="","",IF([3]設定!$H32="",INDEX([3]第３表!$F$80:$Q$136,MATCH([3]設定!$D32,[3]第３表!$C$80:$C$136,0),2),[3]設定!$H32))</f>
        <v>156.4</v>
      </c>
      <c r="G18" s="52">
        <f>IF($D18="","",IF([3]設定!$H32="",INDEX([3]第３表!$F$80:$Q$136,MATCH([3]設定!$D32,[3]第３表!$C$80:$C$136,0),3),[3]設定!$H32))</f>
        <v>145</v>
      </c>
      <c r="H18" s="53">
        <f>IF($D18="","",IF([3]設定!$H32="",INDEX([3]第３表!$F$80:$Q$136,MATCH([3]設定!$D32,[3]第３表!$C$80:$C$136,0),4),[3]設定!$H32))</f>
        <v>11.4</v>
      </c>
      <c r="I18" s="54">
        <f>IF($D18="","",IF([3]設定!$H32="",INDEX([3]第３表!$F$80:$Q$136,MATCH([3]設定!$D32,[3]第３表!$C$80:$C$136,0),5),[3]設定!$H32))</f>
        <v>18.600000000000001</v>
      </c>
      <c r="J18" s="54">
        <f>IF($D18="","",IF([3]設定!$H32="",INDEX([3]第３表!$F$80:$Q$136,MATCH([3]設定!$D32,[3]第３表!$C$80:$C$136,0),6),[3]設定!$H32))</f>
        <v>161.30000000000001</v>
      </c>
      <c r="K18" s="54">
        <f>IF($D18="","",IF([3]設定!$H32="",INDEX([3]第３表!$F$80:$Q$136,MATCH([3]設定!$D32,[3]第３表!$C$80:$C$136,0),7),[3]設定!$H32))</f>
        <v>151.6</v>
      </c>
      <c r="L18" s="55">
        <f>IF($D18="","",IF([3]設定!$H32="",INDEX([3]第３表!$F$80:$Q$136,MATCH([3]設定!$D32,[3]第３表!$C$80:$C$136,0),8),[3]設定!$H32))</f>
        <v>9.6999999999999993</v>
      </c>
      <c r="M18" s="56">
        <f>IF($D18="","",IF([3]設定!$H32="",INDEX([3]第３表!$F$80:$Q$136,MATCH([3]設定!$D32,[3]第３表!$C$80:$C$136,0),9),[3]設定!$H32))</f>
        <v>19.100000000000001</v>
      </c>
      <c r="N18" s="56">
        <f>IF($D18="","",IF([3]設定!$H32="",INDEX([3]第３表!$F$80:$Q$136,MATCH([3]設定!$D32,[3]第３表!$C$80:$C$136,0),10),[3]設定!$H32))</f>
        <v>147.80000000000001</v>
      </c>
      <c r="O18" s="56">
        <f>IF($D18="","",IF([3]設定!$H32="",INDEX([3]第３表!$F$80:$Q$136,MATCH([3]設定!$D32,[3]第３表!$C$80:$C$136,0),11),[3]設定!$H32))</f>
        <v>133.30000000000001</v>
      </c>
      <c r="P18" s="57">
        <f>IF($D18="","",IF([3]設定!$H32="",INDEX([3]第３表!$F$80:$Q$136,MATCH([3]設定!$D32,[3]第３表!$C$80:$C$136,0),12),[3]設定!$H32))</f>
        <v>14.5</v>
      </c>
    </row>
    <row r="19" spans="2:16" s="8" customFormat="1" ht="17.25" customHeight="1" x14ac:dyDescent="0.45">
      <c r="B19" s="49" t="str">
        <f>+[4]第５表!B19</f>
        <v>M</v>
      </c>
      <c r="C19" s="50"/>
      <c r="D19" s="60" t="str">
        <f>+[4]第５表!D19</f>
        <v>宿泊業，飲食サービス業</v>
      </c>
      <c r="E19" s="52">
        <f>IF($D19="","",IF([3]設定!$H33="",INDEX([3]第３表!$F$80:$Q$136,MATCH([3]設定!$D33,[3]第３表!$C$80:$C$136,0),1),[3]設定!$H33))</f>
        <v>13.8</v>
      </c>
      <c r="F19" s="52">
        <f>IF($D19="","",IF([3]設定!$H33="",INDEX([3]第３表!$F$80:$Q$136,MATCH([3]設定!$D33,[3]第３表!$C$80:$C$136,0),2),[3]設定!$H33))</f>
        <v>76.8</v>
      </c>
      <c r="G19" s="52">
        <f>IF($D19="","",IF([3]設定!$H33="",INDEX([3]第３表!$F$80:$Q$136,MATCH([3]設定!$D33,[3]第３表!$C$80:$C$136,0),3),[3]設定!$H33))</f>
        <v>73.400000000000006</v>
      </c>
      <c r="H19" s="53">
        <f>IF($D19="","",IF([3]設定!$H33="",INDEX([3]第３表!$F$80:$Q$136,MATCH([3]設定!$D33,[3]第３表!$C$80:$C$136,0),4),[3]設定!$H33))</f>
        <v>3.4</v>
      </c>
      <c r="I19" s="54">
        <f>IF($D19="","",IF([3]設定!$H33="",INDEX([3]第３表!$F$80:$Q$136,MATCH([3]設定!$D33,[3]第３表!$C$80:$C$136,0),5),[3]設定!$H33))</f>
        <v>14.7</v>
      </c>
      <c r="J19" s="54">
        <f>IF($D19="","",IF([3]設定!$H33="",INDEX([3]第３表!$F$80:$Q$136,MATCH([3]設定!$D33,[3]第３表!$C$80:$C$136,0),6),[3]設定!$H33))</f>
        <v>79.8</v>
      </c>
      <c r="K19" s="54">
        <f>IF($D19="","",IF([3]設定!$H33="",INDEX([3]第３表!$F$80:$Q$136,MATCH([3]設定!$D33,[3]第３表!$C$80:$C$136,0),7),[3]設定!$H33))</f>
        <v>74.599999999999994</v>
      </c>
      <c r="L19" s="55">
        <f>IF($D19="","",IF([3]設定!$H33="",INDEX([3]第３表!$F$80:$Q$136,MATCH([3]設定!$D33,[3]第３表!$C$80:$C$136,0),8),[3]設定!$H33))</f>
        <v>5.2</v>
      </c>
      <c r="M19" s="56">
        <f>IF($D19="","",IF([3]設定!$H33="",INDEX([3]第３表!$F$80:$Q$136,MATCH([3]設定!$D33,[3]第３表!$C$80:$C$136,0),9),[3]設定!$H33))</f>
        <v>13.3</v>
      </c>
      <c r="N19" s="56">
        <f>IF($D19="","",IF([3]設定!$H33="",INDEX([3]第３表!$F$80:$Q$136,MATCH([3]設定!$D33,[3]第３表!$C$80:$C$136,0),10),[3]設定!$H33))</f>
        <v>75.099999999999994</v>
      </c>
      <c r="O19" s="56">
        <f>IF($D19="","",IF([3]設定!$H33="",INDEX([3]第３表!$F$80:$Q$136,MATCH([3]設定!$D33,[3]第３表!$C$80:$C$136,0),11),[3]設定!$H33))</f>
        <v>72.7</v>
      </c>
      <c r="P19" s="57">
        <f>IF($D19="","",IF([3]設定!$H33="",INDEX([3]第３表!$F$80:$Q$136,MATCH([3]設定!$D33,[3]第３表!$C$80:$C$136,0),12),[3]設定!$H33))</f>
        <v>2.4</v>
      </c>
    </row>
    <row r="20" spans="2:16" s="8" customFormat="1" ht="17.25" customHeight="1" x14ac:dyDescent="0.45">
      <c r="B20" s="49" t="str">
        <f>+[4]第５表!B20</f>
        <v>N</v>
      </c>
      <c r="C20" s="50"/>
      <c r="D20" s="61" t="str">
        <f>+[4]第５表!D20</f>
        <v>生活関連サービス業，娯楽業</v>
      </c>
      <c r="E20" s="52">
        <f>IF($D20="","",IF([3]設定!$H34="",INDEX([3]第３表!$F$80:$Q$136,MATCH([3]設定!$D34,[3]第３表!$C$80:$C$136,0),1),[3]設定!$H34))</f>
        <v>16.100000000000001</v>
      </c>
      <c r="F20" s="52">
        <f>IF($D20="","",IF([3]設定!$H34="",INDEX([3]第３表!$F$80:$Q$136,MATCH([3]設定!$D34,[3]第３表!$C$80:$C$136,0),2),[3]設定!$H34))</f>
        <v>113.3</v>
      </c>
      <c r="G20" s="52">
        <f>IF($D20="","",IF([3]設定!$H34="",INDEX([3]第３表!$F$80:$Q$136,MATCH([3]設定!$D34,[3]第３表!$C$80:$C$136,0),3),[3]設定!$H34))</f>
        <v>109.7</v>
      </c>
      <c r="H20" s="53">
        <f>IF($D20="","",IF([3]設定!$H34="",INDEX([3]第３表!$F$80:$Q$136,MATCH([3]設定!$D34,[3]第３表!$C$80:$C$136,0),4),[3]設定!$H34))</f>
        <v>3.6</v>
      </c>
      <c r="I20" s="54">
        <f>IF($D20="","",IF([3]設定!$H34="",INDEX([3]第３表!$F$80:$Q$136,MATCH([3]設定!$D34,[3]第３表!$C$80:$C$136,0),5),[3]設定!$H34))</f>
        <v>15.8</v>
      </c>
      <c r="J20" s="54">
        <f>IF($D20="","",IF([3]設定!$H34="",INDEX([3]第３表!$F$80:$Q$136,MATCH([3]設定!$D34,[3]第３表!$C$80:$C$136,0),6),[3]設定!$H34))</f>
        <v>116.2</v>
      </c>
      <c r="K20" s="54">
        <f>IF($D20="","",IF([3]設定!$H34="",INDEX([3]第３表!$F$80:$Q$136,MATCH([3]設定!$D34,[3]第３表!$C$80:$C$136,0),7),[3]設定!$H34))</f>
        <v>111.8</v>
      </c>
      <c r="L20" s="55">
        <f>IF($D20="","",IF([3]設定!$H34="",INDEX([3]第３表!$F$80:$Q$136,MATCH([3]設定!$D34,[3]第３表!$C$80:$C$136,0),8),[3]設定!$H34))</f>
        <v>4.4000000000000004</v>
      </c>
      <c r="M20" s="56">
        <f>IF($D20="","",IF([3]設定!$H34="",INDEX([3]第３表!$F$80:$Q$136,MATCH([3]設定!$D34,[3]第３表!$C$80:$C$136,0),9),[3]設定!$H34))</f>
        <v>16.5</v>
      </c>
      <c r="N20" s="56">
        <f>IF($D20="","",IF([3]設定!$H34="",INDEX([3]第３表!$F$80:$Q$136,MATCH([3]設定!$D34,[3]第３表!$C$80:$C$136,0),10),[3]設定!$H34))</f>
        <v>109.4</v>
      </c>
      <c r="O20" s="56">
        <f>IF($D20="","",IF([3]設定!$H34="",INDEX([3]第３表!$F$80:$Q$136,MATCH([3]設定!$D34,[3]第３表!$C$80:$C$136,0),11),[3]設定!$H34))</f>
        <v>106.9</v>
      </c>
      <c r="P20" s="57">
        <f>IF($D20="","",IF([3]設定!$H34="",INDEX([3]第３表!$F$80:$Q$136,MATCH([3]設定!$D34,[3]第３表!$C$80:$C$136,0),12),[3]設定!$H34))</f>
        <v>2.5</v>
      </c>
    </row>
    <row r="21" spans="2:16" s="8" customFormat="1" ht="17.25" customHeight="1" x14ac:dyDescent="0.45">
      <c r="B21" s="49" t="str">
        <f>+[4]第５表!B21</f>
        <v>O</v>
      </c>
      <c r="C21" s="50"/>
      <c r="D21" s="51" t="str">
        <f>+[4]第５表!D21</f>
        <v>教育，学習支援業</v>
      </c>
      <c r="E21" s="52">
        <f>IF($D21="","",IF([3]設定!$H35="",INDEX([3]第３表!$F$80:$Q$136,MATCH([3]設定!$D35,[3]第３表!$C$80:$C$136,0),1),[3]設定!$H35))</f>
        <v>18.5</v>
      </c>
      <c r="F21" s="52">
        <f>IF($D21="","",IF([3]設定!$H35="",INDEX([3]第３表!$F$80:$Q$136,MATCH([3]設定!$D35,[3]第３表!$C$80:$C$136,0),2),[3]設定!$H35))</f>
        <v>147.80000000000001</v>
      </c>
      <c r="G21" s="52">
        <f>IF($D21="","",IF([3]設定!$H35="",INDEX([3]第３表!$F$80:$Q$136,MATCH([3]設定!$D35,[3]第３表!$C$80:$C$136,0),3),[3]設定!$H35))</f>
        <v>129.5</v>
      </c>
      <c r="H21" s="53">
        <f>IF($D21="","",IF([3]設定!$H35="",INDEX([3]第３表!$F$80:$Q$136,MATCH([3]設定!$D35,[3]第３表!$C$80:$C$136,0),4),[3]設定!$H35))</f>
        <v>18.3</v>
      </c>
      <c r="I21" s="54">
        <f>IF($D21="","",IF([3]設定!$H35="",INDEX([3]第３表!$F$80:$Q$136,MATCH([3]設定!$D35,[3]第３表!$C$80:$C$136,0),5),[3]設定!$H35))</f>
        <v>18.8</v>
      </c>
      <c r="J21" s="54">
        <f>IF($D21="","",IF([3]設定!$H35="",INDEX([3]第３表!$F$80:$Q$136,MATCH([3]設定!$D35,[3]第３表!$C$80:$C$136,0),6),[3]設定!$H35))</f>
        <v>157</v>
      </c>
      <c r="K21" s="54">
        <f>IF($D21="","",IF([3]設定!$H35="",INDEX([3]第３表!$F$80:$Q$136,MATCH([3]設定!$D35,[3]第３表!$C$80:$C$136,0),7),[3]設定!$H35))</f>
        <v>132.5</v>
      </c>
      <c r="L21" s="55">
        <f>IF($D21="","",IF([3]設定!$H35="",INDEX([3]第３表!$F$80:$Q$136,MATCH([3]設定!$D35,[3]第３表!$C$80:$C$136,0),8),[3]設定!$H35))</f>
        <v>24.5</v>
      </c>
      <c r="M21" s="56">
        <f>IF($D21="","",IF([3]設定!$H35="",INDEX([3]第３表!$F$80:$Q$136,MATCH([3]設定!$D35,[3]第３表!$C$80:$C$136,0),9),[3]設定!$H35))</f>
        <v>18.3</v>
      </c>
      <c r="N21" s="56">
        <f>IF($D21="","",IF([3]設定!$H35="",INDEX([3]第３表!$F$80:$Q$136,MATCH([3]設定!$D35,[3]第３表!$C$80:$C$136,0),10),[3]設定!$H35))</f>
        <v>139.6</v>
      </c>
      <c r="O21" s="56">
        <f>IF($D21="","",IF([3]設定!$H35="",INDEX([3]第３表!$F$80:$Q$136,MATCH([3]設定!$D35,[3]第３表!$C$80:$C$136,0),11),[3]設定!$H35))</f>
        <v>126.9</v>
      </c>
      <c r="P21" s="57">
        <f>IF($D21="","",IF([3]設定!$H35="",INDEX([3]第３表!$F$80:$Q$136,MATCH([3]設定!$D35,[3]第３表!$C$80:$C$136,0),12),[3]設定!$H35))</f>
        <v>12.7</v>
      </c>
    </row>
    <row r="22" spans="2:16" s="8" customFormat="1" ht="17.25" customHeight="1" x14ac:dyDescent="0.45">
      <c r="B22" s="49" t="str">
        <f>+[4]第５表!B22</f>
        <v>P</v>
      </c>
      <c r="C22" s="50"/>
      <c r="D22" s="51" t="str">
        <f>+[4]第５表!D22</f>
        <v>医療，福祉</v>
      </c>
      <c r="E22" s="52">
        <f>IF($D22="","",IF([3]設定!$H36="",INDEX([3]第３表!$F$80:$Q$136,MATCH([3]設定!$D36,[3]第３表!$C$80:$C$136,0),1),[3]設定!$H36))</f>
        <v>18.2</v>
      </c>
      <c r="F22" s="52">
        <f>IF($D22="","",IF([3]設定!$H36="",INDEX([3]第３表!$F$80:$Q$136,MATCH([3]設定!$D36,[3]第３表!$C$80:$C$136,0),2),[3]設定!$H36))</f>
        <v>134.9</v>
      </c>
      <c r="G22" s="52">
        <f>IF($D22="","",IF([3]設定!$H36="",INDEX([3]第３表!$F$80:$Q$136,MATCH([3]設定!$D36,[3]第３表!$C$80:$C$136,0),3),[3]設定!$H36))</f>
        <v>130.6</v>
      </c>
      <c r="H22" s="53">
        <f>IF($D22="","",IF([3]設定!$H36="",INDEX([3]第３表!$F$80:$Q$136,MATCH([3]設定!$D36,[3]第３表!$C$80:$C$136,0),4),[3]設定!$H36))</f>
        <v>4.3</v>
      </c>
      <c r="I22" s="54">
        <f>IF($D22="","",IF([3]設定!$H36="",INDEX([3]第３表!$F$80:$Q$136,MATCH([3]設定!$D36,[3]第３表!$C$80:$C$136,0),5),[3]設定!$H36))</f>
        <v>18.100000000000001</v>
      </c>
      <c r="J22" s="54">
        <f>IF($D22="","",IF([3]設定!$H36="",INDEX([3]第３表!$F$80:$Q$136,MATCH([3]設定!$D36,[3]第３表!$C$80:$C$136,0),6),[3]設定!$H36))</f>
        <v>137.80000000000001</v>
      </c>
      <c r="K22" s="54">
        <f>IF($D22="","",IF([3]設定!$H36="",INDEX([3]第３表!$F$80:$Q$136,MATCH([3]設定!$D36,[3]第３表!$C$80:$C$136,0),7),[3]設定!$H36))</f>
        <v>132.80000000000001</v>
      </c>
      <c r="L22" s="55">
        <f>IF($D22="","",IF([3]設定!$H36="",INDEX([3]第３表!$F$80:$Q$136,MATCH([3]設定!$D36,[3]第３表!$C$80:$C$136,0),8),[3]設定!$H36))</f>
        <v>5</v>
      </c>
      <c r="M22" s="56">
        <f>IF($D22="","",IF([3]設定!$H36="",INDEX([3]第３表!$F$80:$Q$136,MATCH([3]設定!$D36,[3]第３表!$C$80:$C$136,0),9),[3]設定!$H36))</f>
        <v>18.2</v>
      </c>
      <c r="N22" s="56">
        <f>IF($D22="","",IF([3]設定!$H36="",INDEX([3]第３表!$F$80:$Q$136,MATCH([3]設定!$D36,[3]第３表!$C$80:$C$136,0),10),[3]設定!$H36))</f>
        <v>134</v>
      </c>
      <c r="O22" s="56">
        <f>IF($D22="","",IF([3]設定!$H36="",INDEX([3]第３表!$F$80:$Q$136,MATCH([3]設定!$D36,[3]第３表!$C$80:$C$136,0),11),[3]設定!$H36))</f>
        <v>129.9</v>
      </c>
      <c r="P22" s="57">
        <f>IF($D22="","",IF([3]設定!$H36="",INDEX([3]第３表!$F$80:$Q$136,MATCH([3]設定!$D36,[3]第３表!$C$80:$C$136,0),12),[3]設定!$H36))</f>
        <v>4.0999999999999996</v>
      </c>
    </row>
    <row r="23" spans="2:16" s="8" customFormat="1" ht="17.25" customHeight="1" x14ac:dyDescent="0.45">
      <c r="B23" s="49" t="str">
        <f>+[4]第５表!B23</f>
        <v>Q</v>
      </c>
      <c r="C23" s="50"/>
      <c r="D23" s="51" t="str">
        <f>+[4]第５表!D23</f>
        <v>複合サービス事業</v>
      </c>
      <c r="E23" s="52">
        <f>IF($D23="","",IF([3]設定!$H37="",INDEX([3]第３表!$F$80:$Q$136,MATCH([3]設定!$D37,[3]第３表!$C$80:$C$136,0),1),[3]設定!$H37))</f>
        <v>17.899999999999999</v>
      </c>
      <c r="F23" s="52">
        <f>IF($D23="","",IF([3]設定!$H37="",INDEX([3]第３表!$F$80:$Q$136,MATCH([3]設定!$D37,[3]第３表!$C$80:$C$136,0),2),[3]設定!$H37))</f>
        <v>140.9</v>
      </c>
      <c r="G23" s="52">
        <f>IF($D23="","",IF([3]設定!$H37="",INDEX([3]第３表!$F$80:$Q$136,MATCH([3]設定!$D37,[3]第３表!$C$80:$C$136,0),3),[3]設定!$H37))</f>
        <v>137.80000000000001</v>
      </c>
      <c r="H23" s="53">
        <f>IF($D23="","",IF([3]設定!$H37="",INDEX([3]第３表!$F$80:$Q$136,MATCH([3]設定!$D37,[3]第３表!$C$80:$C$136,0),4),[3]設定!$H37))</f>
        <v>3.1</v>
      </c>
      <c r="I23" s="54">
        <f>IF($D23="","",IF([3]設定!$H37="",INDEX([3]第３表!$F$80:$Q$136,MATCH([3]設定!$D37,[3]第３表!$C$80:$C$136,0),5),[3]設定!$H37))</f>
        <v>17.8</v>
      </c>
      <c r="J23" s="54">
        <f>IF($D23="","",IF([3]設定!$H37="",INDEX([3]第３表!$F$80:$Q$136,MATCH([3]設定!$D37,[3]第３表!$C$80:$C$136,0),6),[3]設定!$H37))</f>
        <v>141.9</v>
      </c>
      <c r="K23" s="54">
        <f>IF($D23="","",IF([3]設定!$H37="",INDEX([3]第３表!$F$80:$Q$136,MATCH([3]設定!$D37,[3]第３表!$C$80:$C$136,0),7),[3]設定!$H37))</f>
        <v>139.19999999999999</v>
      </c>
      <c r="L23" s="55">
        <f>IF($D23="","",IF([3]設定!$H37="",INDEX([3]第３表!$F$80:$Q$136,MATCH([3]設定!$D37,[3]第３表!$C$80:$C$136,0),8),[3]設定!$H37))</f>
        <v>2.7</v>
      </c>
      <c r="M23" s="56">
        <f>IF($D23="","",IF([3]設定!$H37="",INDEX([3]第３表!$F$80:$Q$136,MATCH([3]設定!$D37,[3]第３表!$C$80:$C$136,0),9),[3]設定!$H37))</f>
        <v>18.100000000000001</v>
      </c>
      <c r="N23" s="56">
        <f>IF($D23="","",IF([3]設定!$H37="",INDEX([3]第３表!$F$80:$Q$136,MATCH([3]設定!$D37,[3]第３表!$C$80:$C$136,0),10),[3]設定!$H37))</f>
        <v>139.4</v>
      </c>
      <c r="O23" s="56">
        <f>IF($D23="","",IF([3]設定!$H37="",INDEX([3]第３表!$F$80:$Q$136,MATCH([3]設定!$D37,[3]第３表!$C$80:$C$136,0),11),[3]設定!$H37))</f>
        <v>135.6</v>
      </c>
      <c r="P23" s="57">
        <f>IF($D23="","",IF([3]設定!$H37="",INDEX([3]第３表!$F$80:$Q$136,MATCH([3]設定!$D37,[3]第３表!$C$80:$C$136,0),12),[3]設定!$H37))</f>
        <v>3.8</v>
      </c>
    </row>
    <row r="24" spans="2:16" s="8" customFormat="1" ht="17.25" customHeight="1" x14ac:dyDescent="0.45">
      <c r="B24" s="49" t="str">
        <f>+[4]第５表!B24</f>
        <v>R</v>
      </c>
      <c r="C24" s="50"/>
      <c r="D24" s="62" t="str">
        <f>+[4]第５表!D24</f>
        <v>サービス業（他に分類されないもの）</v>
      </c>
      <c r="E24" s="52">
        <f>IF($D24="","",IF([3]設定!$H38="",INDEX([3]第３表!$F$80:$Q$136,MATCH([3]設定!$D38,[3]第３表!$C$80:$C$136,0),1),[3]設定!$H38))</f>
        <v>17.8</v>
      </c>
      <c r="F24" s="52">
        <f>IF($D24="","",IF([3]設定!$H38="",INDEX([3]第３表!$F$80:$Q$136,MATCH([3]設定!$D38,[3]第３表!$C$80:$C$136,0),2),[3]設定!$H38))</f>
        <v>134.9</v>
      </c>
      <c r="G24" s="52">
        <f>IF($D24="","",IF([3]設定!$H38="",INDEX([3]第３表!$F$80:$Q$136,MATCH([3]設定!$D38,[3]第３表!$C$80:$C$136,0),3),[3]設定!$H38))</f>
        <v>126.3</v>
      </c>
      <c r="H24" s="53">
        <f>IF($D24="","",IF([3]設定!$H38="",INDEX([3]第３表!$F$80:$Q$136,MATCH([3]設定!$D38,[3]第３表!$C$80:$C$136,0),4),[3]設定!$H38))</f>
        <v>8.6</v>
      </c>
      <c r="I24" s="54">
        <f>IF($D24="","",IF([3]設定!$H38="",INDEX([3]第３表!$F$80:$Q$136,MATCH([3]設定!$D38,[3]第３表!$C$80:$C$136,0),5),[3]設定!$H38))</f>
        <v>18.399999999999999</v>
      </c>
      <c r="J24" s="54">
        <f>IF($D24="","",IF([3]設定!$H38="",INDEX([3]第３表!$F$80:$Q$136,MATCH([3]設定!$D38,[3]第３表!$C$80:$C$136,0),6),[3]設定!$H38))</f>
        <v>151.30000000000001</v>
      </c>
      <c r="K24" s="54">
        <f>IF($D24="","",IF([3]設定!$H38="",INDEX([3]第３表!$F$80:$Q$136,MATCH([3]設定!$D38,[3]第３表!$C$80:$C$136,0),7),[3]設定!$H38))</f>
        <v>138.30000000000001</v>
      </c>
      <c r="L24" s="55">
        <f>IF($D24="","",IF([3]設定!$H38="",INDEX([3]第３表!$F$80:$Q$136,MATCH([3]設定!$D38,[3]第３表!$C$80:$C$136,0),8),[3]設定!$H38))</f>
        <v>13</v>
      </c>
      <c r="M24" s="56">
        <f>IF($D24="","",IF([3]設定!$H38="",INDEX([3]第３表!$F$80:$Q$136,MATCH([3]設定!$D38,[3]第３表!$C$80:$C$136,0),9),[3]設定!$H38))</f>
        <v>17.2</v>
      </c>
      <c r="N24" s="56">
        <f>IF($D24="","",IF([3]設定!$H38="",INDEX([3]第３表!$F$80:$Q$136,MATCH([3]設定!$D38,[3]第３表!$C$80:$C$136,0),10),[3]設定!$H38))</f>
        <v>119.3</v>
      </c>
      <c r="O24" s="56">
        <f>IF($D24="","",IF([3]設定!$H38="",INDEX([3]第３表!$F$80:$Q$136,MATCH([3]設定!$D38,[3]第３表!$C$80:$C$136,0),11),[3]設定!$H38))</f>
        <v>114.8</v>
      </c>
      <c r="P24" s="57">
        <f>IF($D24="","",IF([3]設定!$H38="",INDEX([3]第３表!$F$80:$Q$136,MATCH([3]設定!$D38,[3]第３表!$C$80:$C$136,0),12),[3]設定!$H38))</f>
        <v>4.5</v>
      </c>
    </row>
    <row r="25" spans="2:16" s="8" customFormat="1" ht="17.25" customHeight="1" x14ac:dyDescent="0.45">
      <c r="B25" s="45" t="str">
        <f>+[4]第５表!B25</f>
        <v>E09,10</v>
      </c>
      <c r="C25" s="46"/>
      <c r="D25" s="63" t="str">
        <f>+[4]第５表!D25</f>
        <v>食料品・たばこ</v>
      </c>
      <c r="E25" s="48">
        <f>IF($D25="","",IF([3]設定!$H39="",INDEX([3]第３表!$F$80:$Q$136,MATCH([3]設定!$D39,[3]第３表!$C$80:$C$136,0),1),[3]設定!$H39))</f>
        <v>19</v>
      </c>
      <c r="F25" s="48">
        <f>IF($D25="","",IF([3]設定!$H39="",INDEX([3]第３表!$F$80:$Q$136,MATCH([3]設定!$D39,[3]第３表!$C$80:$C$136,0),2),[3]設定!$H39))</f>
        <v>147.6</v>
      </c>
      <c r="G25" s="48">
        <f>IF($D25="","",IF([3]設定!$H39="",INDEX([3]第３表!$F$80:$Q$136,MATCH([3]設定!$D39,[3]第３表!$C$80:$C$136,0),3),[3]設定!$H39))</f>
        <v>138.9</v>
      </c>
      <c r="H25" s="64">
        <f>IF($D25="","",IF([3]設定!$H39="",INDEX([3]第３表!$F$80:$Q$136,MATCH([3]設定!$D39,[3]第３表!$C$80:$C$136,0),4),[3]設定!$H39))</f>
        <v>8.6999999999999993</v>
      </c>
      <c r="I25" s="48">
        <f>IF($D25="","",IF([3]設定!$H39="",INDEX([3]第３表!$F$80:$Q$136,MATCH([3]設定!$D39,[3]第３表!$C$80:$C$136,0),5),[3]設定!$H39))</f>
        <v>19.3</v>
      </c>
      <c r="J25" s="48">
        <f>IF($D25="","",IF([3]設定!$H39="",INDEX([3]第３表!$F$80:$Q$136,MATCH([3]設定!$D39,[3]第３表!$C$80:$C$136,0),6),[3]設定!$H39))</f>
        <v>161</v>
      </c>
      <c r="K25" s="48">
        <f>IF($D25="","",IF([3]設定!$H39="",INDEX([3]第３表!$F$80:$Q$136,MATCH([3]設定!$D39,[3]第３表!$C$80:$C$136,0),7),[3]設定!$H39))</f>
        <v>147.9</v>
      </c>
      <c r="L25" s="64">
        <f>IF($D25="","",IF([3]設定!$H39="",INDEX([3]第３表!$F$80:$Q$136,MATCH([3]設定!$D39,[3]第３表!$C$80:$C$136,0),8),[3]設定!$H39))</f>
        <v>13.1</v>
      </c>
      <c r="M25" s="48">
        <f>IF($D25="","",IF([3]設定!$H39="",INDEX([3]第３表!$F$80:$Q$136,MATCH([3]設定!$D39,[3]第３表!$C$80:$C$136,0),9),[3]設定!$H39))</f>
        <v>18.7</v>
      </c>
      <c r="N25" s="48">
        <f>IF($D25="","",IF([3]設定!$H39="",INDEX([3]第３表!$F$80:$Q$136,MATCH([3]設定!$D39,[3]第３表!$C$80:$C$136,0),10),[3]設定!$H39))</f>
        <v>137.69999999999999</v>
      </c>
      <c r="O25" s="48">
        <f>IF($D25="","",IF([3]設定!$H39="",INDEX([3]第３表!$F$80:$Q$136,MATCH([3]設定!$D39,[3]第３表!$C$80:$C$136,0),11),[3]設定!$H39))</f>
        <v>132.30000000000001</v>
      </c>
      <c r="P25" s="64">
        <f>IF($D25="","",IF([3]設定!$H39="",INDEX([3]第３表!$F$80:$Q$136,MATCH([3]設定!$D39,[3]第３表!$C$80:$C$136,0),12),[3]設定!$H39))</f>
        <v>5.4</v>
      </c>
    </row>
    <row r="26" spans="2:16" s="8" customFormat="1" ht="17.25" customHeight="1" x14ac:dyDescent="0.45">
      <c r="B26" s="49" t="str">
        <f>+[4]第５表!B26</f>
        <v>E11</v>
      </c>
      <c r="C26" s="50"/>
      <c r="D26" s="65" t="str">
        <f>+[4]第５表!D26</f>
        <v>繊維工業</v>
      </c>
      <c r="E26" s="52">
        <f>IF($D26="","",IF([3]設定!$H40="",INDEX([3]第３表!$F$80:$Q$136,MATCH([3]設定!$D40,[3]第３表!$C$80:$C$136,0),1),[3]設定!$H40))</f>
        <v>19.600000000000001</v>
      </c>
      <c r="F26" s="52">
        <f>IF($D26="","",IF([3]設定!$H40="",INDEX([3]第３表!$F$80:$Q$136,MATCH([3]設定!$D40,[3]第３表!$C$80:$C$136,0),2),[3]設定!$H40))</f>
        <v>165.1</v>
      </c>
      <c r="G26" s="52">
        <f>IF($D26="","",IF([3]設定!$H40="",INDEX([3]第３表!$F$80:$Q$136,MATCH([3]設定!$D40,[3]第３表!$C$80:$C$136,0),3),[3]設定!$H40))</f>
        <v>147.69999999999999</v>
      </c>
      <c r="H26" s="55">
        <f>IF($D26="","",IF([3]設定!$H40="",INDEX([3]第３表!$F$80:$Q$136,MATCH([3]設定!$D40,[3]第３表!$C$80:$C$136,0),4),[3]設定!$H40))</f>
        <v>17.399999999999999</v>
      </c>
      <c r="I26" s="52">
        <f>IF($D26="","",IF([3]設定!$H40="",INDEX([3]第３表!$F$80:$Q$136,MATCH([3]設定!$D40,[3]第３表!$C$80:$C$136,0),5),[3]設定!$H40))</f>
        <v>19.100000000000001</v>
      </c>
      <c r="J26" s="52">
        <f>IF($D26="","",IF([3]設定!$H40="",INDEX([3]第３表!$F$80:$Q$136,MATCH([3]設定!$D40,[3]第３表!$C$80:$C$136,0),6),[3]設定!$H40))</f>
        <v>157.80000000000001</v>
      </c>
      <c r="K26" s="52">
        <f>IF($D26="","",IF([3]設定!$H40="",INDEX([3]第３表!$F$80:$Q$136,MATCH([3]設定!$D40,[3]第３表!$C$80:$C$136,0),7),[3]設定!$H40))</f>
        <v>143.30000000000001</v>
      </c>
      <c r="L26" s="55">
        <f>IF($D26="","",IF([3]設定!$H40="",INDEX([3]第３表!$F$80:$Q$136,MATCH([3]設定!$D40,[3]第３表!$C$80:$C$136,0),8),[3]設定!$H40))</f>
        <v>14.5</v>
      </c>
      <c r="M26" s="52">
        <f>IF($D26="","",IF([3]設定!$H40="",INDEX([3]第３表!$F$80:$Q$136,MATCH([3]設定!$D40,[3]第３表!$C$80:$C$136,0),9),[3]設定!$H40))</f>
        <v>19.899999999999999</v>
      </c>
      <c r="N26" s="52">
        <f>IF($D26="","",IF([3]設定!$H40="",INDEX([3]第３表!$F$80:$Q$136,MATCH([3]設定!$D40,[3]第３表!$C$80:$C$136,0),10),[3]設定!$H40))</f>
        <v>169.5</v>
      </c>
      <c r="O26" s="52">
        <f>IF($D26="","",IF([3]設定!$H40="",INDEX([3]第３表!$F$80:$Q$136,MATCH([3]設定!$D40,[3]第３表!$C$80:$C$136,0),11),[3]設定!$H40))</f>
        <v>150.4</v>
      </c>
      <c r="P26" s="55">
        <f>IF($D26="","",IF([3]設定!$H40="",INDEX([3]第３表!$F$80:$Q$136,MATCH([3]設定!$D40,[3]第３表!$C$80:$C$136,0),12),[3]設定!$H40))</f>
        <v>19.100000000000001</v>
      </c>
    </row>
    <row r="27" spans="2:16" s="8" customFormat="1" ht="17.25" customHeight="1" x14ac:dyDescent="0.45">
      <c r="B27" s="49" t="str">
        <f>+[4]第５表!B27</f>
        <v>E12</v>
      </c>
      <c r="C27" s="50"/>
      <c r="D27" s="65" t="str">
        <f>+[4]第５表!D27</f>
        <v>木材・木製品</v>
      </c>
      <c r="E27" s="52">
        <f>IF($D27="","",IF([3]設定!$H41="",INDEX([3]第３表!$F$80:$Q$136,MATCH([3]設定!$D41,[3]第３表!$C$80:$C$136,0),1),[3]設定!$H41))</f>
        <v>19.3</v>
      </c>
      <c r="F27" s="52">
        <f>IF($D27="","",IF([3]設定!$H41="",INDEX([3]第３表!$F$80:$Q$136,MATCH([3]設定!$D41,[3]第３表!$C$80:$C$136,0),2),[3]設定!$H41))</f>
        <v>152.19999999999999</v>
      </c>
      <c r="G27" s="52">
        <f>IF($D27="","",IF([3]設定!$H41="",INDEX([3]第３表!$F$80:$Q$136,MATCH([3]設定!$D41,[3]第３表!$C$80:$C$136,0),3),[3]設定!$H41))</f>
        <v>140.19999999999999</v>
      </c>
      <c r="H27" s="55">
        <f>IF($D27="","",IF([3]設定!$H41="",INDEX([3]第３表!$F$80:$Q$136,MATCH([3]設定!$D41,[3]第３表!$C$80:$C$136,0),4),[3]設定!$H41))</f>
        <v>12</v>
      </c>
      <c r="I27" s="52">
        <f>IF($D27="","",IF([3]設定!$H41="",INDEX([3]第３表!$F$80:$Q$136,MATCH([3]設定!$D41,[3]第３表!$C$80:$C$136,0),5),[3]設定!$H41))</f>
        <v>19.100000000000001</v>
      </c>
      <c r="J27" s="52">
        <f>IF($D27="","",IF([3]設定!$H41="",INDEX([3]第３表!$F$80:$Q$136,MATCH([3]設定!$D41,[3]第３表!$C$80:$C$136,0),6),[3]設定!$H41))</f>
        <v>156.30000000000001</v>
      </c>
      <c r="K27" s="52">
        <f>IF($D27="","",IF([3]設定!$H41="",INDEX([3]第３表!$F$80:$Q$136,MATCH([3]設定!$D41,[3]第３表!$C$80:$C$136,0),7),[3]設定!$H41))</f>
        <v>140.69999999999999</v>
      </c>
      <c r="L27" s="55">
        <f>IF($D27="","",IF([3]設定!$H41="",INDEX([3]第３表!$F$80:$Q$136,MATCH([3]設定!$D41,[3]第３表!$C$80:$C$136,0),8),[3]設定!$H41))</f>
        <v>15.6</v>
      </c>
      <c r="M27" s="52">
        <f>IF($D27="","",IF([3]設定!$H41="",INDEX([3]第３表!$F$80:$Q$136,MATCH([3]設定!$D41,[3]第３表!$C$80:$C$136,0),9),[3]設定!$H41))</f>
        <v>19.7</v>
      </c>
      <c r="N27" s="52">
        <f>IF($D27="","",IF([3]設定!$H41="",INDEX([3]第３表!$F$80:$Q$136,MATCH([3]設定!$D41,[3]第３表!$C$80:$C$136,0),10),[3]設定!$H41))</f>
        <v>143.30000000000001</v>
      </c>
      <c r="O27" s="52">
        <f>IF($D27="","",IF([3]設定!$H41="",INDEX([3]第３表!$F$80:$Q$136,MATCH([3]設定!$D41,[3]第３表!$C$80:$C$136,0),11),[3]設定!$H41))</f>
        <v>139.19999999999999</v>
      </c>
      <c r="P27" s="55">
        <f>IF($D27="","",IF([3]設定!$H41="",INDEX([3]第３表!$F$80:$Q$136,MATCH([3]設定!$D41,[3]第３表!$C$80:$C$136,0),12),[3]設定!$H41))</f>
        <v>4.0999999999999996</v>
      </c>
    </row>
    <row r="28" spans="2:16" s="8" customFormat="1" ht="17.25" customHeight="1" x14ac:dyDescent="0.45">
      <c r="B28" s="49" t="str">
        <f>+[4]第５表!B28</f>
        <v>E13</v>
      </c>
      <c r="C28" s="50"/>
      <c r="D28" s="65" t="str">
        <f>+[4]第５表!D28</f>
        <v>家具・装備品</v>
      </c>
      <c r="E28" s="52" t="str">
        <f>IF($D28="","",IF([3]設定!$H42="",INDEX([3]第３表!$F$80:$Q$136,MATCH([3]設定!$D42,[3]第３表!$C$80:$C$136,0),1),[3]設定!$H42))</f>
        <v>x</v>
      </c>
      <c r="F28" s="52" t="str">
        <f>IF($D28="","",IF([3]設定!$H42="",INDEX([3]第３表!$F$80:$Q$136,MATCH([3]設定!$D42,[3]第３表!$C$80:$C$136,0),2),[3]設定!$H42))</f>
        <v>x</v>
      </c>
      <c r="G28" s="52" t="str">
        <f>IF($D28="","",IF([3]設定!$H42="",INDEX([3]第３表!$F$80:$Q$136,MATCH([3]設定!$D42,[3]第３表!$C$80:$C$136,0),3),[3]設定!$H42))</f>
        <v>x</v>
      </c>
      <c r="H28" s="55" t="str">
        <f>IF($D28="","",IF([3]設定!$H42="",INDEX([3]第３表!$F$80:$Q$136,MATCH([3]設定!$D42,[3]第３表!$C$80:$C$136,0),4),[3]設定!$H42))</f>
        <v>x</v>
      </c>
      <c r="I28" s="52" t="str">
        <f>IF($D28="","",IF([3]設定!$H42="",INDEX([3]第３表!$F$80:$Q$136,MATCH([3]設定!$D42,[3]第３表!$C$80:$C$136,0),5),[3]設定!$H42))</f>
        <v>x</v>
      </c>
      <c r="J28" s="52" t="str">
        <f>IF($D28="","",IF([3]設定!$H42="",INDEX([3]第３表!$F$80:$Q$136,MATCH([3]設定!$D42,[3]第３表!$C$80:$C$136,0),6),[3]設定!$H42))</f>
        <v>x</v>
      </c>
      <c r="K28" s="52" t="str">
        <f>IF($D28="","",IF([3]設定!$H42="",INDEX([3]第３表!$F$80:$Q$136,MATCH([3]設定!$D42,[3]第３表!$C$80:$C$136,0),7),[3]設定!$H42))</f>
        <v>x</v>
      </c>
      <c r="L28" s="55" t="str">
        <f>IF($D28="","",IF([3]設定!$H42="",INDEX([3]第３表!$F$80:$Q$136,MATCH([3]設定!$D42,[3]第３表!$C$80:$C$136,0),8),[3]設定!$H42))</f>
        <v>x</v>
      </c>
      <c r="M28" s="52" t="str">
        <f>IF($D28="","",IF([3]設定!$H42="",INDEX([3]第３表!$F$80:$Q$136,MATCH([3]設定!$D42,[3]第３表!$C$80:$C$136,0),9),[3]設定!$H42))</f>
        <v>x</v>
      </c>
      <c r="N28" s="52" t="str">
        <f>IF($D28="","",IF([3]設定!$H42="",INDEX([3]第３表!$F$80:$Q$136,MATCH([3]設定!$D42,[3]第３表!$C$80:$C$136,0),10),[3]設定!$H42))</f>
        <v>x</v>
      </c>
      <c r="O28" s="52" t="str">
        <f>IF($D28="","",IF([3]設定!$H42="",INDEX([3]第３表!$F$80:$Q$136,MATCH([3]設定!$D42,[3]第３表!$C$80:$C$136,0),11),[3]設定!$H42))</f>
        <v>x</v>
      </c>
      <c r="P28" s="55" t="str">
        <f>IF($D28="","",IF([3]設定!$H42="",INDEX([3]第３表!$F$80:$Q$136,MATCH([3]設定!$D42,[3]第３表!$C$80:$C$136,0),12),[3]設定!$H42))</f>
        <v>x</v>
      </c>
    </row>
    <row r="29" spans="2:16" s="8" customFormat="1" ht="17.25" customHeight="1" x14ac:dyDescent="0.45">
      <c r="B29" s="49" t="str">
        <f>+[4]第５表!B29</f>
        <v>E15</v>
      </c>
      <c r="C29" s="50"/>
      <c r="D29" s="65" t="str">
        <f>+[4]第５表!D29</f>
        <v>印刷・同関連業</v>
      </c>
      <c r="E29" s="52">
        <f>IF($D29="","",IF([3]設定!$H43="",INDEX([3]第３表!$F$80:$Q$136,MATCH([3]設定!$D43,[3]第３表!$C$80:$C$136,0),1),[3]設定!$H43))</f>
        <v>18.8</v>
      </c>
      <c r="F29" s="52">
        <f>IF($D29="","",IF([3]設定!$H43="",INDEX([3]第３表!$F$80:$Q$136,MATCH([3]設定!$D43,[3]第３表!$C$80:$C$136,0),2),[3]設定!$H43))</f>
        <v>150.80000000000001</v>
      </c>
      <c r="G29" s="52">
        <f>IF($D29="","",IF([3]設定!$H43="",INDEX([3]第３表!$F$80:$Q$136,MATCH([3]設定!$D43,[3]第３表!$C$80:$C$136,0),3),[3]設定!$H43))</f>
        <v>143.6</v>
      </c>
      <c r="H29" s="55">
        <f>IF($D29="","",IF([3]設定!$H43="",INDEX([3]第３表!$F$80:$Q$136,MATCH([3]設定!$D43,[3]第３表!$C$80:$C$136,0),4),[3]設定!$H43))</f>
        <v>7.2</v>
      </c>
      <c r="I29" s="52">
        <f>IF($D29="","",IF([3]設定!$H43="",INDEX([3]第３表!$F$80:$Q$136,MATCH([3]設定!$D43,[3]第３表!$C$80:$C$136,0),5),[3]設定!$H43))</f>
        <v>18.899999999999999</v>
      </c>
      <c r="J29" s="52">
        <f>IF($D29="","",IF([3]設定!$H43="",INDEX([3]第３表!$F$80:$Q$136,MATCH([3]設定!$D43,[3]第３表!$C$80:$C$136,0),6),[3]設定!$H43))</f>
        <v>152.69999999999999</v>
      </c>
      <c r="K29" s="52">
        <f>IF($D29="","",IF([3]設定!$H43="",INDEX([3]第３表!$F$80:$Q$136,MATCH([3]設定!$D43,[3]第３表!$C$80:$C$136,0),7),[3]設定!$H43))</f>
        <v>144.19999999999999</v>
      </c>
      <c r="L29" s="55">
        <f>IF($D29="","",IF([3]設定!$H43="",INDEX([3]第３表!$F$80:$Q$136,MATCH([3]設定!$D43,[3]第３表!$C$80:$C$136,0),8),[3]設定!$H43))</f>
        <v>8.5</v>
      </c>
      <c r="M29" s="52">
        <f>IF($D29="","",IF([3]設定!$H43="",INDEX([3]第３表!$F$80:$Q$136,MATCH([3]設定!$D43,[3]第３表!$C$80:$C$136,0),9),[3]設定!$H43))</f>
        <v>18.600000000000001</v>
      </c>
      <c r="N29" s="52">
        <f>IF($D29="","",IF([3]設定!$H43="",INDEX([3]第３表!$F$80:$Q$136,MATCH([3]設定!$D43,[3]第３表!$C$80:$C$136,0),10),[3]設定!$H43))</f>
        <v>146.6</v>
      </c>
      <c r="O29" s="52">
        <f>IF($D29="","",IF([3]設定!$H43="",INDEX([3]第３表!$F$80:$Q$136,MATCH([3]設定!$D43,[3]第３表!$C$80:$C$136,0),11),[3]設定!$H43))</f>
        <v>142.4</v>
      </c>
      <c r="P29" s="55">
        <f>IF($D29="","",IF([3]設定!$H43="",INDEX([3]第３表!$F$80:$Q$136,MATCH([3]設定!$D43,[3]第３表!$C$80:$C$136,0),12),[3]設定!$H43))</f>
        <v>4.2</v>
      </c>
    </row>
    <row r="30" spans="2:16" s="8" customFormat="1" ht="17.25" customHeight="1" x14ac:dyDescent="0.45">
      <c r="B30" s="49" t="str">
        <f>+[4]第５表!B30</f>
        <v>E16,17</v>
      </c>
      <c r="C30" s="50"/>
      <c r="D30" s="65" t="str">
        <f>+[4]第５表!D30</f>
        <v>化学、石油・石炭</v>
      </c>
      <c r="E30" s="52">
        <f>IF($D30="","",IF([3]設定!$H44="",INDEX([3]第３表!$F$80:$Q$136,MATCH([3]設定!$D44,[3]第３表!$C$80:$C$136,0),1),[3]設定!$H44))</f>
        <v>19.100000000000001</v>
      </c>
      <c r="F30" s="52">
        <f>IF($D30="","",IF([3]設定!$H44="",INDEX([3]第３表!$F$80:$Q$136,MATCH([3]設定!$D44,[3]第３表!$C$80:$C$136,0),2),[3]設定!$H44))</f>
        <v>157.1</v>
      </c>
      <c r="G30" s="52">
        <f>IF($D30="","",IF([3]設定!$H44="",INDEX([3]第３表!$F$80:$Q$136,MATCH([3]設定!$D44,[3]第３表!$C$80:$C$136,0),3),[3]設定!$H44))</f>
        <v>140</v>
      </c>
      <c r="H30" s="55">
        <f>IF($D30="","",IF([3]設定!$H44="",INDEX([3]第３表!$F$80:$Q$136,MATCH([3]設定!$D44,[3]第３表!$C$80:$C$136,0),4),[3]設定!$H44))</f>
        <v>17.100000000000001</v>
      </c>
      <c r="I30" s="52">
        <f>IF($D30="","",IF([3]設定!$H44="",INDEX([3]第３表!$F$80:$Q$136,MATCH([3]設定!$D44,[3]第３表!$C$80:$C$136,0),5),[3]設定!$H44))</f>
        <v>19.100000000000001</v>
      </c>
      <c r="J30" s="52">
        <f>IF($D30="","",IF([3]設定!$H44="",INDEX([3]第３表!$F$80:$Q$136,MATCH([3]設定!$D44,[3]第３表!$C$80:$C$136,0),6),[3]設定!$H44))</f>
        <v>158.19999999999999</v>
      </c>
      <c r="K30" s="52">
        <f>IF($D30="","",IF([3]設定!$H44="",INDEX([3]第３表!$F$80:$Q$136,MATCH([3]設定!$D44,[3]第３表!$C$80:$C$136,0),7),[3]設定!$H44))</f>
        <v>140.1</v>
      </c>
      <c r="L30" s="55">
        <f>IF($D30="","",IF([3]設定!$H44="",INDEX([3]第３表!$F$80:$Q$136,MATCH([3]設定!$D44,[3]第３表!$C$80:$C$136,0),8),[3]設定!$H44))</f>
        <v>18.100000000000001</v>
      </c>
      <c r="M30" s="52">
        <f>IF($D30="","",IF([3]設定!$H44="",INDEX([3]第３表!$F$80:$Q$136,MATCH([3]設定!$D44,[3]第３表!$C$80:$C$136,0),9),[3]設定!$H44))</f>
        <v>18.7</v>
      </c>
      <c r="N30" s="52">
        <f>IF($D30="","",IF([3]設定!$H44="",INDEX([3]第３表!$F$80:$Q$136,MATCH([3]設定!$D44,[3]第３表!$C$80:$C$136,0),10),[3]設定!$H44))</f>
        <v>142.69999999999999</v>
      </c>
      <c r="O30" s="52">
        <f>IF($D30="","",IF([3]設定!$H44="",INDEX([3]第３表!$F$80:$Q$136,MATCH([3]設定!$D44,[3]第３表!$C$80:$C$136,0),11),[3]設定!$H44))</f>
        <v>137.9</v>
      </c>
      <c r="P30" s="55">
        <f>IF($D30="","",IF([3]設定!$H44="",INDEX([3]第３表!$F$80:$Q$136,MATCH([3]設定!$D44,[3]第３表!$C$80:$C$136,0),12),[3]設定!$H44))</f>
        <v>4.8</v>
      </c>
    </row>
    <row r="31" spans="2:16" s="8" customFormat="1" ht="17.25" customHeight="1" x14ac:dyDescent="0.45">
      <c r="B31" s="49" t="str">
        <f>+[4]第５表!B31</f>
        <v>E18</v>
      </c>
      <c r="C31" s="50"/>
      <c r="D31" s="65" t="str">
        <f>+[4]第５表!D31</f>
        <v>プラスチック製品</v>
      </c>
      <c r="E31" s="52">
        <f>IF($D31="","",IF([3]設定!$H45="",INDEX([3]第３表!$F$80:$Q$136,MATCH([3]設定!$D45,[3]第３表!$C$80:$C$136,0),1),[3]設定!$H45))</f>
        <v>18.399999999999999</v>
      </c>
      <c r="F31" s="52">
        <f>IF($D31="","",IF([3]設定!$H45="",INDEX([3]第３表!$F$80:$Q$136,MATCH([3]設定!$D45,[3]第３表!$C$80:$C$136,0),2),[3]設定!$H45))</f>
        <v>145.5</v>
      </c>
      <c r="G31" s="52">
        <f>IF($D31="","",IF([3]設定!$H45="",INDEX([3]第３表!$F$80:$Q$136,MATCH([3]設定!$D45,[3]第３表!$C$80:$C$136,0),3),[3]設定!$H45))</f>
        <v>137.6</v>
      </c>
      <c r="H31" s="55">
        <f>IF($D31="","",IF([3]設定!$H45="",INDEX([3]第３表!$F$80:$Q$136,MATCH([3]設定!$D45,[3]第３表!$C$80:$C$136,0),4),[3]設定!$H45))</f>
        <v>7.9</v>
      </c>
      <c r="I31" s="52">
        <f>IF($D31="","",IF([3]設定!$H45="",INDEX([3]第３表!$F$80:$Q$136,MATCH([3]設定!$D45,[3]第３表!$C$80:$C$136,0),5),[3]設定!$H45))</f>
        <v>18.7</v>
      </c>
      <c r="J31" s="52">
        <f>IF($D31="","",IF([3]設定!$H45="",INDEX([3]第３表!$F$80:$Q$136,MATCH([3]設定!$D45,[3]第３表!$C$80:$C$136,0),6),[3]設定!$H45))</f>
        <v>155.1</v>
      </c>
      <c r="K31" s="52">
        <f>IF($D31="","",IF([3]設定!$H45="",INDEX([3]第３表!$F$80:$Q$136,MATCH([3]設定!$D45,[3]第３表!$C$80:$C$136,0),7),[3]設定!$H45))</f>
        <v>144.69999999999999</v>
      </c>
      <c r="L31" s="55">
        <f>IF($D31="","",IF([3]設定!$H45="",INDEX([3]第３表!$F$80:$Q$136,MATCH([3]設定!$D45,[3]第３表!$C$80:$C$136,0),8),[3]設定!$H45))</f>
        <v>10.4</v>
      </c>
      <c r="M31" s="52">
        <f>IF($D31="","",IF([3]設定!$H45="",INDEX([3]第３表!$F$80:$Q$136,MATCH([3]設定!$D45,[3]第３表!$C$80:$C$136,0),9),[3]設定!$H45))</f>
        <v>17.5</v>
      </c>
      <c r="N31" s="52">
        <f>IF($D31="","",IF([3]設定!$H45="",INDEX([3]第３表!$F$80:$Q$136,MATCH([3]設定!$D45,[3]第３表!$C$80:$C$136,0),10),[3]設定!$H45))</f>
        <v>120</v>
      </c>
      <c r="O31" s="52">
        <f>IF($D31="","",IF([3]設定!$H45="",INDEX([3]第３表!$F$80:$Q$136,MATCH([3]設定!$D45,[3]第３表!$C$80:$C$136,0),11),[3]設定!$H45))</f>
        <v>118.7</v>
      </c>
      <c r="P31" s="55">
        <f>IF($D31="","",IF([3]設定!$H45="",INDEX([3]第３表!$F$80:$Q$136,MATCH([3]設定!$D45,[3]第３表!$C$80:$C$136,0),12),[3]設定!$H45))</f>
        <v>1.3</v>
      </c>
    </row>
    <row r="32" spans="2:16" s="8" customFormat="1" ht="17.25" customHeight="1" x14ac:dyDescent="0.45">
      <c r="B32" s="49" t="str">
        <f>+[4]第５表!B32</f>
        <v>E19</v>
      </c>
      <c r="C32" s="50"/>
      <c r="D32" s="65" t="str">
        <f>+[4]第５表!D32</f>
        <v>ゴム製品</v>
      </c>
      <c r="E32" s="52">
        <f>IF($D32="","",IF([3]設定!$H46="",INDEX([3]第３表!$F$80:$Q$136,MATCH([3]設定!$D46,[3]第３表!$C$80:$C$136,0),1),[3]設定!$H46))</f>
        <v>19.399999999999999</v>
      </c>
      <c r="F32" s="52">
        <f>IF($D32="","",IF([3]設定!$H46="",INDEX([3]第３表!$F$80:$Q$136,MATCH([3]設定!$D46,[3]第３表!$C$80:$C$136,0),2),[3]設定!$H46))</f>
        <v>165.2</v>
      </c>
      <c r="G32" s="52">
        <f>IF($D32="","",IF([3]設定!$H46="",INDEX([3]第３表!$F$80:$Q$136,MATCH([3]設定!$D46,[3]第３表!$C$80:$C$136,0),3),[3]設定!$H46))</f>
        <v>143.19999999999999</v>
      </c>
      <c r="H32" s="55">
        <f>IF($D32="","",IF([3]設定!$H46="",INDEX([3]第３表!$F$80:$Q$136,MATCH([3]設定!$D46,[3]第３表!$C$80:$C$136,0),4),[3]設定!$H46))</f>
        <v>22</v>
      </c>
      <c r="I32" s="52">
        <f>IF($D32="","",IF([3]設定!$H46="",INDEX([3]第３表!$F$80:$Q$136,MATCH([3]設定!$D46,[3]第３表!$C$80:$C$136,0),5),[3]設定!$H46))</f>
        <v>19.399999999999999</v>
      </c>
      <c r="J32" s="52">
        <f>IF($D32="","",IF([3]設定!$H46="",INDEX([3]第３表!$F$80:$Q$136,MATCH([3]設定!$D46,[3]第３表!$C$80:$C$136,0),6),[3]設定!$H46))</f>
        <v>165.8</v>
      </c>
      <c r="K32" s="52">
        <f>IF($D32="","",IF([3]設定!$H46="",INDEX([3]第３表!$F$80:$Q$136,MATCH([3]設定!$D46,[3]第３表!$C$80:$C$136,0),7),[3]設定!$H46))</f>
        <v>142.1</v>
      </c>
      <c r="L32" s="55">
        <f>IF($D32="","",IF([3]設定!$H46="",INDEX([3]第３表!$F$80:$Q$136,MATCH([3]設定!$D46,[3]第３表!$C$80:$C$136,0),8),[3]設定!$H46))</f>
        <v>23.7</v>
      </c>
      <c r="M32" s="52">
        <f>IF($D32="","",IF([3]設定!$H46="",INDEX([3]第３表!$F$80:$Q$136,MATCH([3]設定!$D46,[3]第３表!$C$80:$C$136,0),9),[3]設定!$H46))</f>
        <v>19.8</v>
      </c>
      <c r="N32" s="52">
        <f>IF($D32="","",IF([3]設定!$H46="",INDEX([3]第３表!$F$80:$Q$136,MATCH([3]設定!$D46,[3]第３表!$C$80:$C$136,0),10),[3]設定!$H46))</f>
        <v>161.1</v>
      </c>
      <c r="O32" s="52">
        <f>IF($D32="","",IF([3]設定!$H46="",INDEX([3]第３表!$F$80:$Q$136,MATCH([3]設定!$D46,[3]第３表!$C$80:$C$136,0),11),[3]設定!$H46))</f>
        <v>150.4</v>
      </c>
      <c r="P32" s="55">
        <f>IF($D32="","",IF([3]設定!$H46="",INDEX([3]第３表!$F$80:$Q$136,MATCH([3]設定!$D46,[3]第３表!$C$80:$C$136,0),12),[3]設定!$H46))</f>
        <v>10.7</v>
      </c>
    </row>
    <row r="33" spans="2:17" s="8" customFormat="1" ht="17.25" customHeight="1" x14ac:dyDescent="0.45">
      <c r="B33" s="49" t="str">
        <f>+[4]第５表!B33</f>
        <v>E21</v>
      </c>
      <c r="C33" s="50"/>
      <c r="D33" s="65" t="str">
        <f>+[4]第５表!D33</f>
        <v>窯業・土石製品</v>
      </c>
      <c r="E33" s="52">
        <f>IF($D33="","",IF([3]設定!$H47="",INDEX([3]第３表!$F$80:$Q$136,MATCH([3]設定!$D47,[3]第３表!$C$80:$C$136,0),1),[3]設定!$H47))</f>
        <v>20.399999999999999</v>
      </c>
      <c r="F33" s="52">
        <f>IF($D33="","",IF([3]設定!$H47="",INDEX([3]第３表!$F$80:$Q$136,MATCH([3]設定!$D47,[3]第３表!$C$80:$C$136,0),2),[3]設定!$H47))</f>
        <v>173.9</v>
      </c>
      <c r="G33" s="52">
        <f>IF($D33="","",IF([3]設定!$H47="",INDEX([3]第３表!$F$80:$Q$136,MATCH([3]設定!$D47,[3]第３表!$C$80:$C$136,0),3),[3]設定!$H47))</f>
        <v>161</v>
      </c>
      <c r="H33" s="55">
        <f>IF($D33="","",IF([3]設定!$H47="",INDEX([3]第３表!$F$80:$Q$136,MATCH([3]設定!$D47,[3]第３表!$C$80:$C$136,0),4),[3]設定!$H47))</f>
        <v>12.9</v>
      </c>
      <c r="I33" s="52">
        <f>IF($D33="","",IF([3]設定!$H47="",INDEX([3]第３表!$F$80:$Q$136,MATCH([3]設定!$D47,[3]第３表!$C$80:$C$136,0),5),[3]設定!$H47))</f>
        <v>20.5</v>
      </c>
      <c r="J33" s="52">
        <f>IF($D33="","",IF([3]設定!$H47="",INDEX([3]第３表!$F$80:$Q$136,MATCH([3]設定!$D47,[3]第３表!$C$80:$C$136,0),6),[3]設定!$H47))</f>
        <v>179</v>
      </c>
      <c r="K33" s="52">
        <f>IF($D33="","",IF([3]設定!$H47="",INDEX([3]第３表!$F$80:$Q$136,MATCH([3]設定!$D47,[3]第３表!$C$80:$C$136,0),7),[3]設定!$H47))</f>
        <v>162.4</v>
      </c>
      <c r="L33" s="55">
        <f>IF($D33="","",IF([3]設定!$H47="",INDEX([3]第３表!$F$80:$Q$136,MATCH([3]設定!$D47,[3]第３表!$C$80:$C$136,0),8),[3]設定!$H47))</f>
        <v>16.600000000000001</v>
      </c>
      <c r="M33" s="52">
        <f>IF($D33="","",IF([3]設定!$H47="",INDEX([3]第３表!$F$80:$Q$136,MATCH([3]設定!$D47,[3]第３表!$C$80:$C$136,0),9),[3]設定!$H47))</f>
        <v>20.3</v>
      </c>
      <c r="N33" s="52">
        <f>IF($D33="","",IF([3]設定!$H47="",INDEX([3]第３表!$F$80:$Q$136,MATCH([3]設定!$D47,[3]第３表!$C$80:$C$136,0),10),[3]設定!$H47))</f>
        <v>158.4</v>
      </c>
      <c r="O33" s="52">
        <f>IF($D33="","",IF([3]設定!$H47="",INDEX([3]第３表!$F$80:$Q$136,MATCH([3]設定!$D47,[3]第３表!$C$80:$C$136,0),11),[3]設定!$H47))</f>
        <v>156.9</v>
      </c>
      <c r="P33" s="55">
        <f>IF($D33="","",IF([3]設定!$H47="",INDEX([3]第３表!$F$80:$Q$136,MATCH([3]設定!$D47,[3]第３表!$C$80:$C$136,0),12),[3]設定!$H47))</f>
        <v>1.5</v>
      </c>
    </row>
    <row r="34" spans="2:17" s="8" customFormat="1" ht="17.25" customHeight="1" x14ac:dyDescent="0.45">
      <c r="B34" s="49" t="str">
        <f>+[4]第５表!B34</f>
        <v>E24</v>
      </c>
      <c r="C34" s="50"/>
      <c r="D34" s="65" t="str">
        <f>+[4]第５表!D34</f>
        <v>金属製品製造業</v>
      </c>
      <c r="E34" s="55">
        <f>IF($D34="","",IF([3]設定!$H48="",INDEX([3]第３表!$F$80:$Q$136,MATCH([3]設定!$D48,[3]第３表!$C$80:$C$136,0),1),[3]設定!$H48))</f>
        <v>20.399999999999999</v>
      </c>
      <c r="F34" s="55">
        <f>IF($D34="","",IF([3]設定!$H48="",INDEX([3]第３表!$F$80:$Q$136,MATCH([3]設定!$D48,[3]第３表!$C$80:$C$136,0),2),[3]設定!$H48))</f>
        <v>164.2</v>
      </c>
      <c r="G34" s="55">
        <f>IF($D34="","",IF([3]設定!$H48="",INDEX([3]第３表!$F$80:$Q$136,MATCH([3]設定!$D48,[3]第３表!$C$80:$C$136,0),3),[3]設定!$H48))</f>
        <v>151.80000000000001</v>
      </c>
      <c r="H34" s="55">
        <f>IF($D34="","",IF([3]設定!$H48="",INDEX([3]第３表!$F$80:$Q$136,MATCH([3]設定!$D48,[3]第３表!$C$80:$C$136,0),4),[3]設定!$H48))</f>
        <v>12.4</v>
      </c>
      <c r="I34" s="55">
        <f>IF($D34="","",IF([3]設定!$H48="",INDEX([3]第３表!$F$80:$Q$136,MATCH([3]設定!$D48,[3]第３表!$C$80:$C$136,0),5),[3]設定!$H48))</f>
        <v>20.7</v>
      </c>
      <c r="J34" s="55">
        <f>IF($D34="","",IF([3]設定!$H48="",INDEX([3]第３表!$F$80:$Q$136,MATCH([3]設定!$D48,[3]第３表!$C$80:$C$136,0),6),[3]設定!$H48))</f>
        <v>177</v>
      </c>
      <c r="K34" s="55">
        <f>IF($D34="","",IF([3]設定!$H48="",INDEX([3]第３表!$F$80:$Q$136,MATCH([3]設定!$D48,[3]第３表!$C$80:$C$136,0),7),[3]設定!$H48))</f>
        <v>159.4</v>
      </c>
      <c r="L34" s="55">
        <f>IF($D34="","",IF([3]設定!$H48="",INDEX([3]第３表!$F$80:$Q$136,MATCH([3]設定!$D48,[3]第３表!$C$80:$C$136,0),8),[3]設定!$H48))</f>
        <v>17.600000000000001</v>
      </c>
      <c r="M34" s="55">
        <f>IF($D34="","",IF([3]設定!$H48="",INDEX([3]第３表!$F$80:$Q$136,MATCH([3]設定!$D48,[3]第３表!$C$80:$C$136,0),9),[3]設定!$H48))</f>
        <v>20</v>
      </c>
      <c r="N34" s="55">
        <f>IF($D34="","",IF([3]設定!$H48="",INDEX([3]第３表!$F$80:$Q$136,MATCH([3]設定!$D48,[3]第３表!$C$80:$C$136,0),10),[3]設定!$H48))</f>
        <v>143.69999999999999</v>
      </c>
      <c r="O34" s="55">
        <f>IF($D34="","",IF([3]設定!$H48="",INDEX([3]第３表!$F$80:$Q$136,MATCH([3]設定!$D48,[3]第３表!$C$80:$C$136,0),11),[3]設定!$H48))</f>
        <v>139.6</v>
      </c>
      <c r="P34" s="55">
        <f>IF($D34="","",IF([3]設定!$H48="",INDEX([3]第３表!$F$80:$Q$136,MATCH([3]設定!$D48,[3]第３表!$C$80:$C$136,0),12),[3]設定!$H48))</f>
        <v>4.0999999999999996</v>
      </c>
    </row>
    <row r="35" spans="2:17" s="8" customFormat="1" ht="17.25" customHeight="1" x14ac:dyDescent="0.45">
      <c r="B35" s="49" t="str">
        <f>+[4]第５表!B35</f>
        <v>E27</v>
      </c>
      <c r="C35" s="50"/>
      <c r="D35" s="65" t="str">
        <f>+[4]第５表!D35</f>
        <v>業務用機械器具</v>
      </c>
      <c r="E35" s="55">
        <f>IF($D35="","",IF([3]設定!$H49="",INDEX([3]第３表!$F$80:$Q$136,MATCH([3]設定!$D49,[3]第３表!$C$80:$C$136,0),1),[3]設定!$H49))</f>
        <v>18.7</v>
      </c>
      <c r="F35" s="55">
        <f>IF($D35="","",IF([3]設定!$H49="",INDEX([3]第３表!$F$80:$Q$136,MATCH([3]設定!$D49,[3]第３表!$C$80:$C$136,0),2),[3]設定!$H49))</f>
        <v>155.69999999999999</v>
      </c>
      <c r="G35" s="55">
        <f>IF($D35="","",IF([3]設定!$H49="",INDEX([3]第３表!$F$80:$Q$136,MATCH([3]設定!$D49,[3]第３表!$C$80:$C$136,0),3),[3]設定!$H49))</f>
        <v>147.1</v>
      </c>
      <c r="H35" s="55">
        <f>IF($D35="","",IF([3]設定!$H49="",INDEX([3]第３表!$F$80:$Q$136,MATCH([3]設定!$D49,[3]第３表!$C$80:$C$136,0),4),[3]設定!$H49))</f>
        <v>8.6</v>
      </c>
      <c r="I35" s="55">
        <f>IF($D35="","",IF([3]設定!$H49="",INDEX([3]第３表!$F$80:$Q$136,MATCH([3]設定!$D49,[3]第３表!$C$80:$C$136,0),5),[3]設定!$H49))</f>
        <v>19.5</v>
      </c>
      <c r="J35" s="55">
        <f>IF($D35="","",IF([3]設定!$H49="",INDEX([3]第３表!$F$80:$Q$136,MATCH([3]設定!$D49,[3]第３表!$C$80:$C$136,0),6),[3]設定!$H49))</f>
        <v>162.19999999999999</v>
      </c>
      <c r="K35" s="55">
        <f>IF($D35="","",IF([3]設定!$H49="",INDEX([3]第３表!$F$80:$Q$136,MATCH([3]設定!$D49,[3]第３表!$C$80:$C$136,0),7),[3]設定!$H49))</f>
        <v>151.1</v>
      </c>
      <c r="L35" s="55">
        <f>IF($D35="","",IF([3]設定!$H49="",INDEX([3]第３表!$F$80:$Q$136,MATCH([3]設定!$D49,[3]第３表!$C$80:$C$136,0),8),[3]設定!$H49))</f>
        <v>11.1</v>
      </c>
      <c r="M35" s="55">
        <f>IF($D35="","",IF([3]設定!$H49="",INDEX([3]第３表!$F$80:$Q$136,MATCH([3]設定!$D49,[3]第３表!$C$80:$C$136,0),9),[3]設定!$H49))</f>
        <v>18</v>
      </c>
      <c r="N35" s="55">
        <f>IF($D35="","",IF([3]設定!$H49="",INDEX([3]第３表!$F$80:$Q$136,MATCH([3]設定!$D49,[3]第３表!$C$80:$C$136,0),10),[3]設定!$H49))</f>
        <v>149.69999999999999</v>
      </c>
      <c r="O35" s="55">
        <f>IF($D35="","",IF([3]設定!$H49="",INDEX([3]第３表!$F$80:$Q$136,MATCH([3]設定!$D49,[3]第３表!$C$80:$C$136,0),11),[3]設定!$H49))</f>
        <v>143.4</v>
      </c>
      <c r="P35" s="55">
        <f>IF($D35="","",IF([3]設定!$H49="",INDEX([3]第３表!$F$80:$Q$136,MATCH([3]設定!$D49,[3]第３表!$C$80:$C$136,0),12),[3]設定!$H49))</f>
        <v>6.3</v>
      </c>
    </row>
    <row r="36" spans="2:17" s="8" customFormat="1" ht="17.25" customHeight="1" x14ac:dyDescent="0.45">
      <c r="B36" s="49" t="str">
        <f>+[4]第５表!B36</f>
        <v>E28</v>
      </c>
      <c r="C36" s="50"/>
      <c r="D36" s="65" t="str">
        <f>+[4]第５表!D36</f>
        <v>電子・デバイス</v>
      </c>
      <c r="E36" s="55">
        <f>IF($D36="","",IF([3]設定!$H50="",INDEX([3]第３表!$F$80:$Q$136,MATCH([3]設定!$D50,[3]第３表!$C$80:$C$136,0),1),[3]設定!$H50))</f>
        <v>17.7</v>
      </c>
      <c r="F36" s="55">
        <f>IF($D36="","",IF([3]設定!$H50="",INDEX([3]第３表!$F$80:$Q$136,MATCH([3]設定!$D50,[3]第３表!$C$80:$C$136,0),2),[3]設定!$H50))</f>
        <v>152.5</v>
      </c>
      <c r="G36" s="55">
        <f>IF($D36="","",IF([3]設定!$H50="",INDEX([3]第３表!$F$80:$Q$136,MATCH([3]設定!$D50,[3]第３表!$C$80:$C$136,0),3),[3]設定!$H50))</f>
        <v>139.30000000000001</v>
      </c>
      <c r="H36" s="55">
        <f>IF($D36="","",IF([3]設定!$H50="",INDEX([3]第３表!$F$80:$Q$136,MATCH([3]設定!$D50,[3]第３表!$C$80:$C$136,0),4),[3]設定!$H50))</f>
        <v>13.2</v>
      </c>
      <c r="I36" s="55">
        <f>IF($D36="","",IF([3]設定!$H50="",INDEX([3]第３表!$F$80:$Q$136,MATCH([3]設定!$D50,[3]第３表!$C$80:$C$136,0),5),[3]設定!$H50))</f>
        <v>17.899999999999999</v>
      </c>
      <c r="J36" s="55">
        <f>IF($D36="","",IF([3]設定!$H50="",INDEX([3]第３表!$F$80:$Q$136,MATCH([3]設定!$D50,[3]第３表!$C$80:$C$136,0),6),[3]設定!$H50))</f>
        <v>159.9</v>
      </c>
      <c r="K36" s="55">
        <f>IF($D36="","",IF([3]設定!$H50="",INDEX([3]第３表!$F$80:$Q$136,MATCH([3]設定!$D50,[3]第３表!$C$80:$C$136,0),7),[3]設定!$H50))</f>
        <v>143.19999999999999</v>
      </c>
      <c r="L36" s="55">
        <f>IF($D36="","",IF([3]設定!$H50="",INDEX([3]第３表!$F$80:$Q$136,MATCH([3]設定!$D50,[3]第３表!$C$80:$C$136,0),8),[3]設定!$H50))</f>
        <v>16.7</v>
      </c>
      <c r="M36" s="55">
        <f>IF($D36="","",IF([3]設定!$H50="",INDEX([3]第３表!$F$80:$Q$136,MATCH([3]設定!$D50,[3]第３表!$C$80:$C$136,0),9),[3]設定!$H50))</f>
        <v>17.399999999999999</v>
      </c>
      <c r="N36" s="55">
        <f>IF($D36="","",IF([3]設定!$H50="",INDEX([3]第３表!$F$80:$Q$136,MATCH([3]設定!$D50,[3]第３表!$C$80:$C$136,0),10),[3]設定!$H50))</f>
        <v>138.1</v>
      </c>
      <c r="O36" s="55">
        <f>IF($D36="","",IF([3]設定!$H50="",INDEX([3]第３表!$F$80:$Q$136,MATCH([3]設定!$D50,[3]第３表!$C$80:$C$136,0),11),[3]設定!$H50))</f>
        <v>131.80000000000001</v>
      </c>
      <c r="P36" s="55">
        <f>IF($D36="","",IF([3]設定!$H50="",INDEX([3]第３表!$F$80:$Q$136,MATCH([3]設定!$D50,[3]第３表!$C$80:$C$136,0),12),[3]設定!$H50))</f>
        <v>6.3</v>
      </c>
    </row>
    <row r="37" spans="2:17" s="8" customFormat="1" ht="17.25" customHeight="1" x14ac:dyDescent="0.45">
      <c r="B37" s="49" t="str">
        <f>+[4]第５表!B37</f>
        <v>E29</v>
      </c>
      <c r="C37" s="50"/>
      <c r="D37" s="65" t="str">
        <f>+[4]第５表!D37</f>
        <v>電気機械器具</v>
      </c>
      <c r="E37" s="55">
        <f>IF($D37="","",IF([3]設定!$H51="",INDEX([3]第３表!$F$80:$Q$136,MATCH([3]設定!$D51,[3]第３表!$C$80:$C$136,0),1),[3]設定!$H51))</f>
        <v>20.2</v>
      </c>
      <c r="F37" s="55">
        <f>IF($D37="","",IF([3]設定!$H51="",INDEX([3]第３表!$F$80:$Q$136,MATCH([3]設定!$D51,[3]第３表!$C$80:$C$136,0),2),[3]設定!$H51))</f>
        <v>166.9</v>
      </c>
      <c r="G37" s="55">
        <f>IF($D37="","",IF([3]設定!$H51="",INDEX([3]第３表!$F$80:$Q$136,MATCH([3]設定!$D51,[3]第３表!$C$80:$C$136,0),3),[3]設定!$H51))</f>
        <v>154.80000000000001</v>
      </c>
      <c r="H37" s="55">
        <f>IF($D37="","",IF([3]設定!$H51="",INDEX([3]第３表!$F$80:$Q$136,MATCH([3]設定!$D51,[3]第３表!$C$80:$C$136,0),4),[3]設定!$H51))</f>
        <v>12.1</v>
      </c>
      <c r="I37" s="55">
        <f>IF($D37="","",IF([3]設定!$H51="",INDEX([3]第３表!$F$80:$Q$136,MATCH([3]設定!$D51,[3]第３表!$C$80:$C$136,0),5),[3]設定!$H51))</f>
        <v>20.6</v>
      </c>
      <c r="J37" s="55">
        <f>IF($D37="","",IF([3]設定!$H51="",INDEX([3]第３表!$F$80:$Q$136,MATCH([3]設定!$D51,[3]第３表!$C$80:$C$136,0),6),[3]設定!$H51))</f>
        <v>174.2</v>
      </c>
      <c r="K37" s="55">
        <f>IF($D37="","",IF([3]設定!$H51="",INDEX([3]第３表!$F$80:$Q$136,MATCH([3]設定!$D51,[3]第３表!$C$80:$C$136,0),7),[3]設定!$H51))</f>
        <v>158.30000000000001</v>
      </c>
      <c r="L37" s="55">
        <f>IF($D37="","",IF([3]設定!$H51="",INDEX([3]第３表!$F$80:$Q$136,MATCH([3]設定!$D51,[3]第３表!$C$80:$C$136,0),8),[3]設定!$H51))</f>
        <v>15.9</v>
      </c>
      <c r="M37" s="55">
        <f>IF($D37="","",IF([3]設定!$H51="",INDEX([3]第３表!$F$80:$Q$136,MATCH([3]設定!$D51,[3]第３表!$C$80:$C$136,0),9),[3]設定!$H51))</f>
        <v>19.600000000000001</v>
      </c>
      <c r="N37" s="55">
        <f>IF($D37="","",IF([3]設定!$H51="",INDEX([3]第３表!$F$80:$Q$136,MATCH([3]設定!$D51,[3]第３表!$C$80:$C$136,0),10),[3]設定!$H51))</f>
        <v>151.6</v>
      </c>
      <c r="O37" s="55">
        <f>IF($D37="","",IF([3]設定!$H51="",INDEX([3]第３表!$F$80:$Q$136,MATCH([3]設定!$D51,[3]第３表!$C$80:$C$136,0),11),[3]設定!$H51))</f>
        <v>147.5</v>
      </c>
      <c r="P37" s="55">
        <f>IF($D37="","",IF([3]設定!$H51="",INDEX([3]第３表!$F$80:$Q$136,MATCH([3]設定!$D51,[3]第３表!$C$80:$C$136,0),12),[3]設定!$H51))</f>
        <v>4.0999999999999996</v>
      </c>
    </row>
    <row r="38" spans="2:17" s="8" customFormat="1" ht="17.25" customHeight="1" x14ac:dyDescent="0.45">
      <c r="B38" s="49" t="str">
        <f>+[4]第５表!B38</f>
        <v>E31</v>
      </c>
      <c r="C38" s="50"/>
      <c r="D38" s="65" t="str">
        <f>+[4]第５表!D38</f>
        <v>輸送用機械器具</v>
      </c>
      <c r="E38" s="55">
        <f>IF($D38="","",IF([3]設定!$H52="",INDEX([3]第３表!$F$80:$Q$136,MATCH([3]設定!$D52,[3]第３表!$C$80:$C$136,0),1),[3]設定!$H52))</f>
        <v>18</v>
      </c>
      <c r="F38" s="55">
        <f>IF($D38="","",IF([3]設定!$H52="",INDEX([3]第３表!$F$80:$Q$136,MATCH([3]設定!$D52,[3]第３表!$C$80:$C$136,0),2),[3]設定!$H52))</f>
        <v>162.6</v>
      </c>
      <c r="G38" s="55">
        <f>IF($D38="","",IF([3]設定!$H52="",INDEX([3]第３表!$F$80:$Q$136,MATCH([3]設定!$D52,[3]第３表!$C$80:$C$136,0),3),[3]設定!$H52))</f>
        <v>145.5</v>
      </c>
      <c r="H38" s="55">
        <f>IF($D38="","",IF([3]設定!$H52="",INDEX([3]第３表!$F$80:$Q$136,MATCH([3]設定!$D52,[3]第３表!$C$80:$C$136,0),4),[3]設定!$H52))</f>
        <v>17.100000000000001</v>
      </c>
      <c r="I38" s="55">
        <f>IF($D38="","",IF([3]設定!$H52="",INDEX([3]第３表!$F$80:$Q$136,MATCH([3]設定!$D52,[3]第３表!$C$80:$C$136,0),5),[3]設定!$H52))</f>
        <v>18.100000000000001</v>
      </c>
      <c r="J38" s="55">
        <f>IF($D38="","",IF([3]設定!$H52="",INDEX([3]第３表!$F$80:$Q$136,MATCH([3]設定!$D52,[3]第３表!$C$80:$C$136,0),6),[3]設定!$H52))</f>
        <v>166.2</v>
      </c>
      <c r="K38" s="55">
        <f>IF($D38="","",IF([3]設定!$H52="",INDEX([3]第３表!$F$80:$Q$136,MATCH([3]設定!$D52,[3]第３表!$C$80:$C$136,0),7),[3]設定!$H52))</f>
        <v>147.4</v>
      </c>
      <c r="L38" s="55">
        <f>IF($D38="","",IF([3]設定!$H52="",INDEX([3]第３表!$F$80:$Q$136,MATCH([3]設定!$D52,[3]第３表!$C$80:$C$136,0),8),[3]設定!$H52))</f>
        <v>18.8</v>
      </c>
      <c r="M38" s="55">
        <f>IF($D38="","",IF([3]設定!$H52="",INDEX([3]第３表!$F$80:$Q$136,MATCH([3]設定!$D52,[3]第３表!$C$80:$C$136,0),9),[3]設定!$H52))</f>
        <v>17.5</v>
      </c>
      <c r="N38" s="55">
        <f>IF($D38="","",IF([3]設定!$H52="",INDEX([3]第３表!$F$80:$Q$136,MATCH([3]設定!$D52,[3]第３表!$C$80:$C$136,0),10),[3]設定!$H52))</f>
        <v>146.6</v>
      </c>
      <c r="O38" s="55">
        <f>IF($D38="","",IF([3]設定!$H52="",INDEX([3]第３表!$F$80:$Q$136,MATCH([3]設定!$D52,[3]第３表!$C$80:$C$136,0),11),[3]設定!$H52))</f>
        <v>137.1</v>
      </c>
      <c r="P38" s="55">
        <f>IF($D38="","",IF([3]設定!$H52="",INDEX([3]第３表!$F$80:$Q$136,MATCH([3]設定!$D52,[3]第３表!$C$80:$C$136,0),12),[3]設定!$H52))</f>
        <v>9.5</v>
      </c>
    </row>
    <row r="39" spans="2:17" s="8" customFormat="1" ht="17.25" customHeight="1" x14ac:dyDescent="0.45">
      <c r="B39" s="66" t="str">
        <f>+[4]第５表!B39</f>
        <v>ES</v>
      </c>
      <c r="C39" s="67"/>
      <c r="D39" s="68" t="str">
        <f>+[4]第５表!D39</f>
        <v>はん用・生産用機械器具</v>
      </c>
      <c r="E39" s="69">
        <f>IF($D39="","",IF([3]設定!$H53="",INDEX([3]第３表!$F$80:$Q$136,MATCH([3]設定!$D53,[3]第３表!$C$80:$C$136,0),1),[3]設定!$H53))</f>
        <v>20.8</v>
      </c>
      <c r="F39" s="69">
        <f>IF($D39="","",IF([3]設定!$H53="",INDEX([3]第３表!$F$80:$Q$136,MATCH([3]設定!$D53,[3]第３表!$C$80:$C$136,0),2),[3]設定!$H53))</f>
        <v>178.4</v>
      </c>
      <c r="G39" s="69">
        <f>IF($D39="","",IF([3]設定!$H53="",INDEX([3]第３表!$F$80:$Q$136,MATCH([3]設定!$D53,[3]第３表!$C$80:$C$136,0),3),[3]設定!$H53))</f>
        <v>156.69999999999999</v>
      </c>
      <c r="H39" s="69">
        <f>IF($D39="","",IF([3]設定!$H53="",INDEX([3]第３表!$F$80:$Q$136,MATCH([3]設定!$D53,[3]第３表!$C$80:$C$136,0),4),[3]設定!$H53))</f>
        <v>21.7</v>
      </c>
      <c r="I39" s="69">
        <f>IF($D39="","",IF([3]設定!$H53="",INDEX([3]第３表!$F$80:$Q$136,MATCH([3]設定!$D53,[3]第３表!$C$80:$C$136,0),5),[3]設定!$H53))</f>
        <v>21.8</v>
      </c>
      <c r="J39" s="69">
        <f>IF($D39="","",IF([3]設定!$H53="",INDEX([3]第３表!$F$80:$Q$136,MATCH([3]設定!$D53,[3]第３表!$C$80:$C$136,0),6),[3]設定!$H53))</f>
        <v>189.6</v>
      </c>
      <c r="K39" s="69">
        <f>IF($D39="","",IF([3]設定!$H53="",INDEX([3]第３表!$F$80:$Q$136,MATCH([3]設定!$D53,[3]第３表!$C$80:$C$136,0),7),[3]設定!$H53))</f>
        <v>159.69999999999999</v>
      </c>
      <c r="L39" s="69">
        <f>IF($D39="","",IF([3]設定!$H53="",INDEX([3]第３表!$F$80:$Q$136,MATCH([3]設定!$D53,[3]第３表!$C$80:$C$136,0),8),[3]設定!$H53))</f>
        <v>29.9</v>
      </c>
      <c r="M39" s="69">
        <f>IF($D39="","",IF([3]設定!$H53="",INDEX([3]第３表!$F$80:$Q$136,MATCH([3]設定!$D53,[3]第３表!$C$80:$C$136,0),9),[3]設定!$H53))</f>
        <v>18.7</v>
      </c>
      <c r="N39" s="69">
        <f>IF($D39="","",IF([3]設定!$H53="",INDEX([3]第３表!$F$80:$Q$136,MATCH([3]設定!$D53,[3]第３表!$C$80:$C$136,0),10),[3]設定!$H53))</f>
        <v>156.1</v>
      </c>
      <c r="O39" s="69">
        <f>IF($D39="","",IF([3]設定!$H53="",INDEX([3]第３表!$F$80:$Q$136,MATCH([3]設定!$D53,[3]第３表!$C$80:$C$136,0),11),[3]設定!$H53))</f>
        <v>150.69999999999999</v>
      </c>
      <c r="P39" s="69">
        <f>IF($D39="","",IF([3]設定!$H53="",INDEX([3]第３表!$F$80:$Q$136,MATCH([3]設定!$D53,[3]第３表!$C$80:$C$136,0),12),[3]設定!$H53))</f>
        <v>5.4</v>
      </c>
    </row>
    <row r="40" spans="2:17" s="8" customFormat="1" ht="16.2" customHeight="1" x14ac:dyDescent="0.45">
      <c r="B40" s="70" t="str">
        <f>+[4]第５表!B40</f>
        <v>R91</v>
      </c>
      <c r="C40" s="71"/>
      <c r="D40" s="72" t="str">
        <f>+[4]第５表!D40</f>
        <v>職業紹介・労働者派遣業</v>
      </c>
      <c r="E40" s="73">
        <f>IF($D40="","",IF([3]設定!$H54="",INDEX([3]第３表!$F$80:$Q$136,MATCH([3]設定!$D54,[3]第３表!$C$80:$C$136,0),1),[3]設定!$H54))</f>
        <v>17.5</v>
      </c>
      <c r="F40" s="73">
        <f>IF($D40="","",IF([3]設定!$H54="",INDEX([3]第３表!$F$80:$Q$136,MATCH([3]設定!$D54,[3]第３表!$C$80:$C$136,0),2),[3]設定!$H54))</f>
        <v>144.1</v>
      </c>
      <c r="G40" s="73">
        <f>IF($D40="","",IF([3]設定!$H54="",INDEX([3]第３表!$F$80:$Q$136,MATCH([3]設定!$D54,[3]第３表!$C$80:$C$136,0),3),[3]設定!$H54))</f>
        <v>137</v>
      </c>
      <c r="H40" s="73">
        <f>IF($D40="","",IF([3]設定!$H54="",INDEX([3]第３表!$F$80:$Q$136,MATCH([3]設定!$D54,[3]第３表!$C$80:$C$136,0),4),[3]設定!$H54))</f>
        <v>7.1</v>
      </c>
      <c r="I40" s="73">
        <f>IF($D40="","",IF([3]設定!$H54="",INDEX([3]第３表!$F$80:$Q$136,MATCH([3]設定!$D54,[3]第３表!$C$80:$C$136,0),5),[3]設定!$H54))</f>
        <v>18.100000000000001</v>
      </c>
      <c r="J40" s="73">
        <f>IF($D40="","",IF([3]設定!$H54="",INDEX([3]第３表!$F$80:$Q$136,MATCH([3]設定!$D54,[3]第３表!$C$80:$C$136,0),6),[3]設定!$H54))</f>
        <v>159.6</v>
      </c>
      <c r="K40" s="73">
        <f>IF($D40="","",IF([3]設定!$H54="",INDEX([3]第３表!$F$80:$Q$136,MATCH([3]設定!$D54,[3]第３表!$C$80:$C$136,0),7),[3]設定!$H54))</f>
        <v>148.80000000000001</v>
      </c>
      <c r="L40" s="73">
        <f>IF($D40="","",IF([3]設定!$H54="",INDEX([3]第３表!$F$80:$Q$136,MATCH([3]設定!$D54,[3]第３表!$C$80:$C$136,0),8),[3]設定!$H54))</f>
        <v>10.8</v>
      </c>
      <c r="M40" s="73">
        <f>IF($D40="","",IF([3]設定!$H54="",INDEX([3]第３表!$F$80:$Q$136,MATCH([3]設定!$D54,[3]第３表!$C$80:$C$136,0),9),[3]設定!$H54))</f>
        <v>17</v>
      </c>
      <c r="N40" s="73">
        <f>IF($D40="","",IF([3]設定!$H54="",INDEX([3]第３表!$F$80:$Q$136,MATCH([3]設定!$D54,[3]第３表!$C$80:$C$136,0),10),[3]設定!$H54))</f>
        <v>131.4</v>
      </c>
      <c r="O40" s="73">
        <f>IF($D40="","",IF([3]設定!$H54="",INDEX([3]第３表!$F$80:$Q$136,MATCH([3]設定!$D54,[3]第３表!$C$80:$C$136,0),11),[3]設定!$H54))</f>
        <v>127.3</v>
      </c>
      <c r="P40" s="73">
        <f>IF($D40="","",IF([3]設定!$H54="",INDEX([3]第３表!$F$80:$Q$136,MATCH([3]設定!$D54,[3]第３表!$C$80:$C$136,0),12),[3]設定!$H54))</f>
        <v>4.0999999999999996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IF($D47="","",IF([3]設定!$I23="",INDEX([3]第３表!$F$10:$Q$66,MATCH([3]設定!$D23,[3]第３表!$C$10:$C$66,0),1),[3]設定!$I23))</f>
        <v>18.100000000000001</v>
      </c>
      <c r="F47" s="48">
        <f>IF($D47="","",IF([3]設定!$I23="",INDEX([3]第３表!$F$10:$Q$66,MATCH([3]設定!$D23,[3]第３表!$C$10:$C$66,0),2),[3]設定!$I23))</f>
        <v>140.80000000000001</v>
      </c>
      <c r="G47" s="48">
        <f>IF($D47="","",IF([3]設定!$I23="",INDEX([3]第３表!$F$10:$Q$66,MATCH([3]設定!$D23,[3]第３表!$C$10:$C$66,0),3),[3]設定!$I23))</f>
        <v>130.6</v>
      </c>
      <c r="H47" s="48">
        <f>IF($D47="","",IF([3]設定!$I23="",INDEX([3]第３表!$F$10:$Q$66,MATCH([3]設定!$D23,[3]第３表!$C$10:$C$66,0),4),[3]設定!$I23))</f>
        <v>10.199999999999999</v>
      </c>
      <c r="I47" s="48">
        <f>IF($D47="","",IF([3]設定!$I23="",INDEX([3]第３表!$F$10:$Q$66,MATCH([3]設定!$D23,[3]第３表!$C$10:$C$66,0),5),[3]設定!$I23))</f>
        <v>18.5</v>
      </c>
      <c r="J47" s="48">
        <f>IF($D47="","",IF([3]設定!$I23="",INDEX([3]第３表!$F$10:$Q$66,MATCH([3]設定!$D23,[3]第３表!$C$10:$C$66,0),6),[3]設定!$I23))</f>
        <v>153.30000000000001</v>
      </c>
      <c r="K47" s="48">
        <f>IF($D47="","",IF([3]設定!$I23="",INDEX([3]第３表!$F$10:$Q$66,MATCH([3]設定!$D23,[3]第３表!$C$10:$C$66,0),7),[3]設定!$I23))</f>
        <v>138.9</v>
      </c>
      <c r="L47" s="48">
        <f>IF($D47="","",IF([3]設定!$I23="",INDEX([3]第３表!$F$10:$Q$66,MATCH([3]設定!$D23,[3]第３表!$C$10:$C$66,0),8),[3]設定!$I23))</f>
        <v>14.4</v>
      </c>
      <c r="M47" s="48">
        <f>IF($D47="","",IF([3]設定!$I23="",INDEX([3]第３表!$F$10:$Q$66,MATCH([3]設定!$D23,[3]第３表!$C$10:$C$66,0),9),[3]設定!$I23))</f>
        <v>17.600000000000001</v>
      </c>
      <c r="N47" s="48">
        <f>IF($D47="","",IF([3]設定!$I23="",INDEX([3]第３表!$F$10:$Q$66,MATCH([3]設定!$D23,[3]第３表!$C$10:$C$66,0),10),[3]設定!$I23))</f>
        <v>128.69999999999999</v>
      </c>
      <c r="O47" s="48">
        <f>IF($D47="","",IF([3]設定!$I23="",INDEX([3]第３表!$F$10:$Q$66,MATCH([3]設定!$D23,[3]第３表!$C$10:$C$66,0),11),[3]設定!$I23))</f>
        <v>122.5</v>
      </c>
      <c r="P47" s="48">
        <f>IF($D47="","",IF([3]設定!$I23="",INDEX([3]第３表!$F$10:$Q$66,MATCH([3]設定!$D23,[3]第３表!$C$10:$C$66,0),12),[3]設定!$I23))</f>
        <v>6.2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IF($D48="","",IF([3]設定!$I24="",INDEX([3]第３表!$F$10:$Q$66,MATCH([3]設定!$D24,[3]第３表!$C$10:$C$66,0),1),[3]設定!$I24))</f>
        <v>20.100000000000001</v>
      </c>
      <c r="F48" s="52">
        <f>IF($D48="","",IF([3]設定!$I24="",INDEX([3]第３表!$F$10:$Q$66,MATCH([3]設定!$D24,[3]第３表!$C$10:$C$66,0),2),[3]設定!$I24))</f>
        <v>162.69999999999999</v>
      </c>
      <c r="G48" s="52">
        <f>IF($D48="","",IF([3]設定!$I24="",INDEX([3]第３表!$F$10:$Q$66,MATCH([3]設定!$D24,[3]第３表!$C$10:$C$66,0),3),[3]設定!$I24))</f>
        <v>149.19999999999999</v>
      </c>
      <c r="H48" s="53">
        <f>IF($D48="","",IF([3]設定!$I24="",INDEX([3]第３表!$F$10:$Q$66,MATCH([3]設定!$D24,[3]第３表!$C$10:$C$66,0),4),[3]設定!$I24))</f>
        <v>13.5</v>
      </c>
      <c r="I48" s="54">
        <f>IF($D48="","",IF([3]設定!$I24="",INDEX([3]第３表!$F$10:$Q$66,MATCH([3]設定!$D24,[3]第３表!$C$10:$C$66,0),5),[3]設定!$I24))</f>
        <v>20.6</v>
      </c>
      <c r="J48" s="54">
        <f>IF($D48="","",IF([3]設定!$I24="",INDEX([3]第３表!$F$10:$Q$66,MATCH([3]設定!$D24,[3]第３表!$C$10:$C$66,0),6),[3]設定!$I24))</f>
        <v>168.3</v>
      </c>
      <c r="K48" s="54">
        <f>IF($D48="","",IF([3]設定!$I24="",INDEX([3]第３表!$F$10:$Q$66,MATCH([3]設定!$D24,[3]第３表!$C$10:$C$66,0),7),[3]設定!$I24))</f>
        <v>152.69999999999999</v>
      </c>
      <c r="L48" s="55">
        <f>IF($D48="","",IF([3]設定!$I24="",INDEX([3]第３表!$F$10:$Q$66,MATCH([3]設定!$D24,[3]第３表!$C$10:$C$66,0),8),[3]設定!$I24))</f>
        <v>15.6</v>
      </c>
      <c r="M48" s="56">
        <f>IF($D48="","",IF([3]設定!$I24="",INDEX([3]第３表!$F$10:$Q$66,MATCH([3]設定!$D24,[3]第３表!$C$10:$C$66,0),9),[3]設定!$I24))</f>
        <v>18</v>
      </c>
      <c r="N48" s="56">
        <f>IF($D48="","",IF([3]設定!$I24="",INDEX([3]第３表!$F$10:$Q$66,MATCH([3]設定!$D24,[3]第３表!$C$10:$C$66,0),10),[3]設定!$I24))</f>
        <v>139</v>
      </c>
      <c r="O48" s="56">
        <f>IF($D48="","",IF([3]設定!$I24="",INDEX([3]第３表!$F$10:$Q$66,MATCH([3]設定!$D24,[3]第３表!$C$10:$C$66,0),11),[3]設定!$I24))</f>
        <v>134.19999999999999</v>
      </c>
      <c r="P48" s="57">
        <f>IF($D48="","",IF([3]設定!$I24="",INDEX([3]第３表!$F$10:$Q$66,MATCH([3]設定!$D24,[3]第３表!$C$10:$C$66,0),12),[3]設定!$I24))</f>
        <v>4.8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IF($D49="","",IF([3]設定!$I25="",INDEX([3]第３表!$F$10:$Q$66,MATCH([3]設定!$D25,[3]第３表!$C$10:$C$66,0),1),[3]設定!$I25))</f>
        <v>19.100000000000001</v>
      </c>
      <c r="F49" s="52">
        <f>IF($D49="","",IF([3]設定!$I25="",INDEX([3]第３表!$F$10:$Q$66,MATCH([3]設定!$D25,[3]第３表!$C$10:$C$66,0),2),[3]設定!$I25))</f>
        <v>158.1</v>
      </c>
      <c r="G49" s="52">
        <f>IF($D49="","",IF([3]設定!$I25="",INDEX([3]第３表!$F$10:$Q$66,MATCH([3]設定!$D25,[3]第３表!$C$10:$C$66,0),3),[3]設定!$I25))</f>
        <v>145</v>
      </c>
      <c r="H49" s="53">
        <f>IF($D49="","",IF([3]設定!$I25="",INDEX([3]第３表!$F$10:$Q$66,MATCH([3]設定!$D25,[3]第３表!$C$10:$C$66,0),4),[3]設定!$I25))</f>
        <v>13.1</v>
      </c>
      <c r="I49" s="54">
        <f>IF($D49="","",IF([3]設定!$I25="",INDEX([3]第３表!$F$10:$Q$66,MATCH([3]設定!$D25,[3]第３表!$C$10:$C$66,0),5),[3]設定!$I25))</f>
        <v>19.399999999999999</v>
      </c>
      <c r="J49" s="54">
        <f>IF($D49="","",IF([3]設定!$I25="",INDEX([3]第３表!$F$10:$Q$66,MATCH([3]設定!$D25,[3]第３表!$C$10:$C$66,0),6),[3]設定!$I25))</f>
        <v>164.7</v>
      </c>
      <c r="K49" s="54">
        <f>IF($D49="","",IF([3]設定!$I25="",INDEX([3]第３表!$F$10:$Q$66,MATCH([3]設定!$D25,[3]第３表!$C$10:$C$66,0),7),[3]設定!$I25))</f>
        <v>148.69999999999999</v>
      </c>
      <c r="L49" s="55">
        <f>IF($D49="","",IF([3]設定!$I25="",INDEX([3]第３表!$F$10:$Q$66,MATCH([3]設定!$D25,[3]第３表!$C$10:$C$66,0),8),[3]設定!$I25))</f>
        <v>16</v>
      </c>
      <c r="M49" s="56">
        <f>IF($D49="","",IF([3]設定!$I25="",INDEX([3]第３表!$F$10:$Q$66,MATCH([3]設定!$D25,[3]第３表!$C$10:$C$66,0),9),[3]設定!$I25))</f>
        <v>18.8</v>
      </c>
      <c r="N49" s="56">
        <f>IF($D49="","",IF([3]設定!$I25="",INDEX([3]第３表!$F$10:$Q$66,MATCH([3]設定!$D25,[3]第３表!$C$10:$C$66,0),10),[3]設定!$I25))</f>
        <v>147.1</v>
      </c>
      <c r="O49" s="56">
        <f>IF($D49="","",IF([3]設定!$I25="",INDEX([3]第３表!$F$10:$Q$66,MATCH([3]設定!$D25,[3]第３表!$C$10:$C$66,0),11),[3]設定!$I25))</f>
        <v>138.9</v>
      </c>
      <c r="P49" s="57">
        <f>IF($D49="","",IF([3]設定!$I25="",INDEX([3]第３表!$F$10:$Q$66,MATCH([3]設定!$D25,[3]第３表!$C$10:$C$66,0),12),[3]設定!$I25))</f>
        <v>8.1999999999999993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IF($D50="","",IF([3]設定!$I26="",INDEX([3]第３表!$F$10:$Q$66,MATCH([3]設定!$D26,[3]第３表!$C$10:$C$66,0),1),[3]設定!$I26))</f>
        <v>17.100000000000001</v>
      </c>
      <c r="F50" s="52">
        <f>IF($D50="","",IF([3]設定!$I26="",INDEX([3]第３表!$F$10:$Q$66,MATCH([3]設定!$D26,[3]第３表!$C$10:$C$66,0),2),[3]設定!$I26))</f>
        <v>139.4</v>
      </c>
      <c r="G50" s="52">
        <f>IF($D50="","",IF([3]設定!$I26="",INDEX([3]第３表!$F$10:$Q$66,MATCH([3]設定!$D26,[3]第３表!$C$10:$C$66,0),3),[3]設定!$I26))</f>
        <v>126.3</v>
      </c>
      <c r="H50" s="53">
        <f>IF($D50="","",IF([3]設定!$I26="",INDEX([3]第３表!$F$10:$Q$66,MATCH([3]設定!$D26,[3]第３表!$C$10:$C$66,0),4),[3]設定!$I26))</f>
        <v>13.1</v>
      </c>
      <c r="I50" s="54">
        <f>IF($D50="","",IF([3]設定!$I26="",INDEX([3]第３表!$F$10:$Q$66,MATCH([3]設定!$D26,[3]第３表!$C$10:$C$66,0),5),[3]設定!$I26))</f>
        <v>17.100000000000001</v>
      </c>
      <c r="J50" s="54">
        <f>IF($D50="","",IF([3]設定!$I26="",INDEX([3]第３表!$F$10:$Q$66,MATCH([3]設定!$D26,[3]第３表!$C$10:$C$66,0),6),[3]設定!$I26))</f>
        <v>142</v>
      </c>
      <c r="K50" s="54">
        <f>IF($D50="","",IF([3]設定!$I26="",INDEX([3]第３表!$F$10:$Q$66,MATCH([3]設定!$D26,[3]第３表!$C$10:$C$66,0),7),[3]設定!$I26))</f>
        <v>127.7</v>
      </c>
      <c r="L50" s="55">
        <f>IF($D50="","",IF([3]設定!$I26="",INDEX([3]第３表!$F$10:$Q$66,MATCH([3]設定!$D26,[3]第３表!$C$10:$C$66,0),8),[3]設定!$I26))</f>
        <v>14.3</v>
      </c>
      <c r="M50" s="56">
        <f>IF($D50="","",IF([3]設定!$I26="",INDEX([3]第３表!$F$10:$Q$66,MATCH([3]設定!$D26,[3]第３表!$C$10:$C$66,0),9),[3]設定!$I26))</f>
        <v>16.7</v>
      </c>
      <c r="N50" s="56">
        <f>IF($D50="","",IF([3]設定!$I26="",INDEX([3]第３表!$F$10:$Q$66,MATCH([3]設定!$D26,[3]第３表!$C$10:$C$66,0),10),[3]設定!$I26))</f>
        <v>124.1</v>
      </c>
      <c r="O50" s="56">
        <f>IF($D50="","",IF([3]設定!$I26="",INDEX([3]第３表!$F$10:$Q$66,MATCH([3]設定!$D26,[3]第３表!$C$10:$C$66,0),11),[3]設定!$I26))</f>
        <v>118.1</v>
      </c>
      <c r="P50" s="57">
        <f>IF($D50="","",IF([3]設定!$I26="",INDEX([3]第３表!$F$10:$Q$66,MATCH([3]設定!$D26,[3]第３表!$C$10:$C$66,0),12),[3]設定!$I26))</f>
        <v>6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IF($D51="","",IF([3]設定!$I27="",INDEX([3]第３表!$F$10:$Q$66,MATCH([3]設定!$D27,[3]第３表!$C$10:$C$66,0),1),[3]設定!$I27))</f>
        <v>17.8</v>
      </c>
      <c r="F51" s="52">
        <f>IF($D51="","",IF([3]設定!$I27="",INDEX([3]第３表!$F$10:$Q$66,MATCH([3]設定!$D27,[3]第３表!$C$10:$C$66,0),2),[3]設定!$I27))</f>
        <v>150.5</v>
      </c>
      <c r="G51" s="52">
        <f>IF($D51="","",IF([3]設定!$I27="",INDEX([3]第３表!$F$10:$Q$66,MATCH([3]設定!$D27,[3]第３表!$C$10:$C$66,0),3),[3]設定!$I27))</f>
        <v>138.19999999999999</v>
      </c>
      <c r="H51" s="53">
        <f>IF($D51="","",IF([3]設定!$I27="",INDEX([3]第３表!$F$10:$Q$66,MATCH([3]設定!$D27,[3]第３表!$C$10:$C$66,0),4),[3]設定!$I27))</f>
        <v>12.3</v>
      </c>
      <c r="I51" s="54">
        <f>IF($D51="","",IF([3]設定!$I27="",INDEX([3]第３表!$F$10:$Q$66,MATCH([3]設定!$D27,[3]第３表!$C$10:$C$66,0),5),[3]設定!$I27))</f>
        <v>18</v>
      </c>
      <c r="J51" s="54">
        <f>IF($D51="","",IF([3]設定!$I27="",INDEX([3]第３表!$F$10:$Q$66,MATCH([3]設定!$D27,[3]第３表!$C$10:$C$66,0),6),[3]設定!$I27))</f>
        <v>153.1</v>
      </c>
      <c r="K51" s="54">
        <f>IF($D51="","",IF([3]設定!$I27="",INDEX([3]第３表!$F$10:$Q$66,MATCH([3]設定!$D27,[3]第３表!$C$10:$C$66,0),7),[3]設定!$I27))</f>
        <v>139.80000000000001</v>
      </c>
      <c r="L51" s="55">
        <f>IF($D51="","",IF([3]設定!$I27="",INDEX([3]第３表!$F$10:$Q$66,MATCH([3]設定!$D27,[3]第３表!$C$10:$C$66,0),8),[3]設定!$I27))</f>
        <v>13.3</v>
      </c>
      <c r="M51" s="56">
        <f>IF($D51="","",IF([3]設定!$I27="",INDEX([3]第３表!$F$10:$Q$66,MATCH([3]設定!$D27,[3]第３表!$C$10:$C$66,0),9),[3]設定!$I27))</f>
        <v>17.3</v>
      </c>
      <c r="N51" s="56">
        <f>IF($D51="","",IF([3]設定!$I27="",INDEX([3]第３表!$F$10:$Q$66,MATCH([3]設定!$D27,[3]第３表!$C$10:$C$66,0),10),[3]設定!$I27))</f>
        <v>144.30000000000001</v>
      </c>
      <c r="O51" s="56">
        <f>IF($D51="","",IF([3]設定!$I27="",INDEX([3]第３表!$F$10:$Q$66,MATCH([3]設定!$D27,[3]第３表!$C$10:$C$66,0),11),[3]設定!$I27))</f>
        <v>134.4</v>
      </c>
      <c r="P51" s="57">
        <f>IF($D51="","",IF([3]設定!$I27="",INDEX([3]第３表!$F$10:$Q$66,MATCH([3]設定!$D27,[3]第３表!$C$10:$C$66,0),12),[3]設定!$I27))</f>
        <v>9.9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IF($D52="","",IF([3]設定!$I28="",INDEX([3]第３表!$F$10:$Q$66,MATCH([3]設定!$D28,[3]第３表!$C$10:$C$66,0),1),[3]設定!$I28))</f>
        <v>19</v>
      </c>
      <c r="F52" s="52">
        <f>IF($D52="","",IF([3]設定!$I28="",INDEX([3]第３表!$F$10:$Q$66,MATCH([3]設定!$D28,[3]第３表!$C$10:$C$66,0),2),[3]設定!$I28))</f>
        <v>161.4</v>
      </c>
      <c r="G52" s="52">
        <f>IF($D52="","",IF([3]設定!$I28="",INDEX([3]第３表!$F$10:$Q$66,MATCH([3]設定!$D28,[3]第３表!$C$10:$C$66,0),3),[3]設定!$I28))</f>
        <v>138.19999999999999</v>
      </c>
      <c r="H52" s="53">
        <f>IF($D52="","",IF([3]設定!$I28="",INDEX([3]第３表!$F$10:$Q$66,MATCH([3]設定!$D28,[3]第３表!$C$10:$C$66,0),4),[3]設定!$I28))</f>
        <v>23.2</v>
      </c>
      <c r="I52" s="54">
        <f>IF($D52="","",IF([3]設定!$I28="",INDEX([3]第３表!$F$10:$Q$66,MATCH([3]設定!$D28,[3]第３表!$C$10:$C$66,0),5),[3]設定!$I28))</f>
        <v>19.3</v>
      </c>
      <c r="J52" s="54">
        <f>IF($D52="","",IF([3]設定!$I28="",INDEX([3]第３表!$F$10:$Q$66,MATCH([3]設定!$D28,[3]第３表!$C$10:$C$66,0),6),[3]設定!$I28))</f>
        <v>166.2</v>
      </c>
      <c r="K52" s="54">
        <f>IF($D52="","",IF([3]設定!$I28="",INDEX([3]第３表!$F$10:$Q$66,MATCH([3]設定!$D28,[3]第３表!$C$10:$C$66,0),7),[3]設定!$I28))</f>
        <v>140.19999999999999</v>
      </c>
      <c r="L52" s="55">
        <f>IF($D52="","",IF([3]設定!$I28="",INDEX([3]第３表!$F$10:$Q$66,MATCH([3]設定!$D28,[3]第３表!$C$10:$C$66,0),8),[3]設定!$I28))</f>
        <v>26</v>
      </c>
      <c r="M52" s="56">
        <f>IF($D52="","",IF([3]設定!$I28="",INDEX([3]第３表!$F$10:$Q$66,MATCH([3]設定!$D28,[3]第３表!$C$10:$C$66,0),9),[3]設定!$I28))</f>
        <v>17.399999999999999</v>
      </c>
      <c r="N52" s="56">
        <f>IF($D52="","",IF([3]設定!$I28="",INDEX([3]第３表!$F$10:$Q$66,MATCH([3]設定!$D28,[3]第３表!$C$10:$C$66,0),10),[3]設定!$I28))</f>
        <v>133.19999999999999</v>
      </c>
      <c r="O52" s="56">
        <f>IF($D52="","",IF([3]設定!$I28="",INDEX([3]第３表!$F$10:$Q$66,MATCH([3]設定!$D28,[3]第３表!$C$10:$C$66,0),11),[3]設定!$I28))</f>
        <v>126.3</v>
      </c>
      <c r="P52" s="57">
        <f>IF($D52="","",IF([3]設定!$I28="",INDEX([3]第３表!$F$10:$Q$66,MATCH([3]設定!$D28,[3]第３表!$C$10:$C$66,0),12),[3]設定!$I28))</f>
        <v>6.9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IF($D53="","",IF([3]設定!$I29="",INDEX([3]第３表!$F$10:$Q$66,MATCH([3]設定!$D29,[3]第３表!$C$10:$C$66,0),1),[3]設定!$I29))</f>
        <v>18.2</v>
      </c>
      <c r="F53" s="52">
        <f>IF($D53="","",IF([3]設定!$I29="",INDEX([3]第３表!$F$10:$Q$66,MATCH([3]設定!$D29,[3]第３表!$C$10:$C$66,0),2),[3]設定!$I29))</f>
        <v>125.7</v>
      </c>
      <c r="G53" s="52">
        <f>IF($D53="","",IF([3]設定!$I29="",INDEX([3]第３表!$F$10:$Q$66,MATCH([3]設定!$D29,[3]第３表!$C$10:$C$66,0),3),[3]設定!$I29))</f>
        <v>119</v>
      </c>
      <c r="H53" s="53">
        <f>IF($D53="","",IF([3]設定!$I29="",INDEX([3]第３表!$F$10:$Q$66,MATCH([3]設定!$D29,[3]第３表!$C$10:$C$66,0),4),[3]設定!$I29))</f>
        <v>6.7</v>
      </c>
      <c r="I53" s="54">
        <f>IF($D53="","",IF([3]設定!$I29="",INDEX([3]第３表!$F$10:$Q$66,MATCH([3]設定!$D29,[3]第３表!$C$10:$C$66,0),5),[3]設定!$I29))</f>
        <v>18.8</v>
      </c>
      <c r="J53" s="54">
        <f>IF($D53="","",IF([3]設定!$I29="",INDEX([3]第３表!$F$10:$Q$66,MATCH([3]設定!$D29,[3]第３表!$C$10:$C$66,0),6),[3]設定!$I29))</f>
        <v>145.69999999999999</v>
      </c>
      <c r="K53" s="54">
        <f>IF($D53="","",IF([3]設定!$I29="",INDEX([3]第３表!$F$10:$Q$66,MATCH([3]設定!$D29,[3]第３表!$C$10:$C$66,0),7),[3]設定!$I29))</f>
        <v>134.6</v>
      </c>
      <c r="L53" s="55">
        <f>IF($D53="","",IF([3]設定!$I29="",INDEX([3]第３表!$F$10:$Q$66,MATCH([3]設定!$D29,[3]第３表!$C$10:$C$66,0),8),[3]設定!$I29))</f>
        <v>11.1</v>
      </c>
      <c r="M53" s="56">
        <f>IF($D53="","",IF([3]設定!$I29="",INDEX([3]第３表!$F$10:$Q$66,MATCH([3]設定!$D29,[3]第３表!$C$10:$C$66,0),9),[3]設定!$I29))</f>
        <v>17.899999999999999</v>
      </c>
      <c r="N53" s="56">
        <f>IF($D53="","",IF([3]設定!$I29="",INDEX([3]第３表!$F$10:$Q$66,MATCH([3]設定!$D29,[3]第３表!$C$10:$C$66,0),10),[3]設定!$I29))</f>
        <v>112.3</v>
      </c>
      <c r="O53" s="56">
        <f>IF($D53="","",IF([3]設定!$I29="",INDEX([3]第３表!$F$10:$Q$66,MATCH([3]設定!$D29,[3]第３表!$C$10:$C$66,0),11),[3]設定!$I29))</f>
        <v>108.6</v>
      </c>
      <c r="P53" s="57">
        <f>IF($D53="","",IF([3]設定!$I29="",INDEX([3]第３表!$F$10:$Q$66,MATCH([3]設定!$D29,[3]第３表!$C$10:$C$66,0),12),[3]設定!$I29))</f>
        <v>3.7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 t="str">
        <f>IF($D54="","",IF([3]設定!$I30="",INDEX([3]第３表!$F$10:$Q$66,MATCH([3]設定!$D30,[3]第３表!$C$10:$C$66,0),1),[3]設定!$I30))</f>
        <v>ｘ</v>
      </c>
      <c r="F54" s="52" t="str">
        <f>IF($D54="","",IF([3]設定!$I30="",INDEX([3]第３表!$F$10:$Q$66,MATCH([3]設定!$D30,[3]第３表!$C$10:$C$66,0),2),[3]設定!$I30))</f>
        <v>ｘ</v>
      </c>
      <c r="G54" s="52" t="str">
        <f>IF($D54="","",IF([3]設定!$I30="",INDEX([3]第３表!$F$10:$Q$66,MATCH([3]設定!$D30,[3]第３表!$C$10:$C$66,0),3),[3]設定!$I30))</f>
        <v>ｘ</v>
      </c>
      <c r="H54" s="53" t="str">
        <f>IF($D54="","",IF([3]設定!$I30="",INDEX([3]第３表!$F$10:$Q$66,MATCH([3]設定!$D30,[3]第３表!$C$10:$C$66,0),4),[3]設定!$I30))</f>
        <v>ｘ</v>
      </c>
      <c r="I54" s="54" t="str">
        <f>IF($D54="","",IF([3]設定!$I30="",INDEX([3]第３表!$F$10:$Q$66,MATCH([3]設定!$D30,[3]第３表!$C$10:$C$66,0),5),[3]設定!$I30))</f>
        <v>ｘ</v>
      </c>
      <c r="J54" s="54" t="str">
        <f>IF($D54="","",IF([3]設定!$I30="",INDEX([3]第３表!$F$10:$Q$66,MATCH([3]設定!$D30,[3]第３表!$C$10:$C$66,0),6),[3]設定!$I30))</f>
        <v>ｘ</v>
      </c>
      <c r="K54" s="54" t="str">
        <f>IF($D54="","",IF([3]設定!$I30="",INDEX([3]第３表!$F$10:$Q$66,MATCH([3]設定!$D30,[3]第３表!$C$10:$C$66,0),7),[3]設定!$I30))</f>
        <v>ｘ</v>
      </c>
      <c r="L54" s="55" t="str">
        <f>IF($D54="","",IF([3]設定!$I30="",INDEX([3]第３表!$F$10:$Q$66,MATCH([3]設定!$D30,[3]第３表!$C$10:$C$66,0),8),[3]設定!$I30))</f>
        <v>ｘ</v>
      </c>
      <c r="M54" s="56" t="str">
        <f>IF($D54="","",IF([3]設定!$I30="",INDEX([3]第３表!$F$10:$Q$66,MATCH([3]設定!$D30,[3]第３表!$C$10:$C$66,0),9),[3]設定!$I30))</f>
        <v>ｘ</v>
      </c>
      <c r="N54" s="56" t="str">
        <f>IF($D54="","",IF([3]設定!$I30="",INDEX([3]第３表!$F$10:$Q$66,MATCH([3]設定!$D30,[3]第３表!$C$10:$C$66,0),10),[3]設定!$I30))</f>
        <v>ｘ</v>
      </c>
      <c r="O54" s="56" t="str">
        <f>IF($D54="","",IF([3]設定!$I30="",INDEX([3]第３表!$F$10:$Q$66,MATCH([3]設定!$D30,[3]第３表!$C$10:$C$66,0),11),[3]設定!$I30))</f>
        <v>ｘ</v>
      </c>
      <c r="P54" s="57" t="str">
        <f>IF($D54="","",IF([3]設定!$I30="",INDEX([3]第３表!$F$10:$Q$66,MATCH([3]設定!$D30,[3]第３表!$C$10:$C$66,0),12),[3]設定!$I30))</f>
        <v>ｘ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IF($D55="","",IF([3]設定!$I31="",INDEX([3]第３表!$F$10:$Q$66,MATCH([3]設定!$D31,[3]第３表!$C$10:$C$66,0),1),[3]設定!$I31))</f>
        <v>18.600000000000001</v>
      </c>
      <c r="F55" s="52">
        <f>IF($D55="","",IF([3]設定!$I31="",INDEX([3]第３表!$F$10:$Q$66,MATCH([3]設定!$D31,[3]第３表!$C$10:$C$66,0),2),[3]設定!$I31))</f>
        <v>140</v>
      </c>
      <c r="G55" s="52">
        <f>IF($D55="","",IF([3]設定!$I31="",INDEX([3]第３表!$F$10:$Q$66,MATCH([3]設定!$D31,[3]第３表!$C$10:$C$66,0),3),[3]設定!$I31))</f>
        <v>136.1</v>
      </c>
      <c r="H55" s="52">
        <f>IF($D55="","",IF([3]設定!$I31="",INDEX([3]第３表!$F$10:$Q$66,MATCH([3]設定!$D31,[3]第３表!$C$10:$C$66,0),4),[3]設定!$I31))</f>
        <v>3.9</v>
      </c>
      <c r="I55" s="54">
        <f>IF($D55="","",IF([3]設定!$I31="",INDEX([3]第３表!$F$10:$Q$66,MATCH([3]設定!$D31,[3]第３表!$C$10:$C$66,0),5),[3]設定!$I31))</f>
        <v>18.899999999999999</v>
      </c>
      <c r="J55" s="54">
        <f>IF($D55="","",IF([3]設定!$I31="",INDEX([3]第３表!$F$10:$Q$66,MATCH([3]設定!$D31,[3]第３表!$C$10:$C$66,0),6),[3]設定!$I31))</f>
        <v>149.30000000000001</v>
      </c>
      <c r="K55" s="54">
        <f>IF($D55="","",IF([3]設定!$I31="",INDEX([3]第３表!$F$10:$Q$66,MATCH([3]設定!$D31,[3]第３表!$C$10:$C$66,0),7),[3]設定!$I31))</f>
        <v>145.1</v>
      </c>
      <c r="L55" s="55">
        <f>IF($D55="","",IF([3]設定!$I31="",INDEX([3]第３表!$F$10:$Q$66,MATCH([3]設定!$D31,[3]第３表!$C$10:$C$66,0),8),[3]設定!$I31))</f>
        <v>4.2</v>
      </c>
      <c r="M55" s="56">
        <f>IF($D55="","",IF([3]設定!$I31="",INDEX([3]第３表!$F$10:$Q$66,MATCH([3]設定!$D31,[3]第３表!$C$10:$C$66,0),9),[3]設定!$I31))</f>
        <v>18</v>
      </c>
      <c r="N55" s="56">
        <f>IF($D55="","",IF([3]設定!$I31="",INDEX([3]第３表!$F$10:$Q$66,MATCH([3]設定!$D31,[3]第３表!$C$10:$C$66,0),10),[3]設定!$I31))</f>
        <v>124.8</v>
      </c>
      <c r="O55" s="56">
        <f>IF($D55="","",IF([3]設定!$I31="",INDEX([3]第３表!$F$10:$Q$66,MATCH([3]設定!$D31,[3]第３表!$C$10:$C$66,0),11),[3]設定!$I31))</f>
        <v>121.3</v>
      </c>
      <c r="P55" s="57">
        <f>IF($D55="","",IF([3]設定!$I31="",INDEX([3]第３表!$F$10:$Q$66,MATCH([3]設定!$D31,[3]第３表!$C$10:$C$66,0),12),[3]設定!$I31))</f>
        <v>3.5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IF($D56="","",IF([3]設定!$I32="",INDEX([3]第３表!$F$10:$Q$66,MATCH([3]設定!$D32,[3]第３表!$C$10:$C$66,0),1),[3]設定!$I32))</f>
        <v>18</v>
      </c>
      <c r="F56" s="52">
        <f>IF($D56="","",IF([3]設定!$I32="",INDEX([3]第３表!$F$10:$Q$66,MATCH([3]設定!$D32,[3]第３表!$C$10:$C$66,0),2),[3]設定!$I32))</f>
        <v>156.30000000000001</v>
      </c>
      <c r="G56" s="52">
        <f>IF($D56="","",IF([3]設定!$I32="",INDEX([3]第３表!$F$10:$Q$66,MATCH([3]設定!$D32,[3]第３表!$C$10:$C$66,0),3),[3]設定!$I32))</f>
        <v>140.1</v>
      </c>
      <c r="H56" s="53">
        <f>IF($D56="","",IF([3]設定!$I32="",INDEX([3]第３表!$F$10:$Q$66,MATCH([3]設定!$D32,[3]第３表!$C$10:$C$66,0),4),[3]設定!$I32))</f>
        <v>16.2</v>
      </c>
      <c r="I56" s="54">
        <f>IF($D56="","",IF([3]設定!$I32="",INDEX([3]第３表!$F$10:$Q$66,MATCH([3]設定!$D32,[3]第３表!$C$10:$C$66,0),5),[3]設定!$I32))</f>
        <v>18.100000000000001</v>
      </c>
      <c r="J56" s="54">
        <f>IF($D56="","",IF([3]設定!$I32="",INDEX([3]第３表!$F$10:$Q$66,MATCH([3]設定!$D32,[3]第３表!$C$10:$C$66,0),6),[3]設定!$I32))</f>
        <v>160.19999999999999</v>
      </c>
      <c r="K56" s="54">
        <f>IF($D56="","",IF([3]設定!$I32="",INDEX([3]第３表!$F$10:$Q$66,MATCH([3]設定!$D32,[3]第３表!$C$10:$C$66,0),7),[3]設定!$I32))</f>
        <v>142.5</v>
      </c>
      <c r="L56" s="55">
        <f>IF($D56="","",IF([3]設定!$I32="",INDEX([3]第３表!$F$10:$Q$66,MATCH([3]設定!$D32,[3]第３表!$C$10:$C$66,0),8),[3]設定!$I32))</f>
        <v>17.7</v>
      </c>
      <c r="M56" s="56">
        <f>IF($D56="","",IF([3]設定!$I32="",INDEX([3]第３表!$F$10:$Q$66,MATCH([3]設定!$D32,[3]第３表!$C$10:$C$66,0),9),[3]設定!$I32))</f>
        <v>17.5</v>
      </c>
      <c r="N56" s="56">
        <f>IF($D56="","",IF([3]設定!$I32="",INDEX([3]第３表!$F$10:$Q$66,MATCH([3]設定!$D32,[3]第３表!$C$10:$C$66,0),10),[3]設定!$I32))</f>
        <v>142.1</v>
      </c>
      <c r="O56" s="56">
        <f>IF($D56="","",IF([3]設定!$I32="",INDEX([3]第３表!$F$10:$Q$66,MATCH([3]設定!$D32,[3]第３表!$C$10:$C$66,0),11),[3]設定!$I32))</f>
        <v>131.5</v>
      </c>
      <c r="P56" s="57">
        <f>IF($D56="","",IF([3]設定!$I32="",INDEX([3]第３表!$F$10:$Q$66,MATCH([3]設定!$D32,[3]第３表!$C$10:$C$66,0),12),[3]設定!$I32))</f>
        <v>10.6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IF($D57="","",IF([3]設定!$I33="",INDEX([3]第３表!$F$10:$Q$66,MATCH([3]設定!$D33,[3]第３表!$C$10:$C$66,0),1),[3]設定!$I33))</f>
        <v>14.8</v>
      </c>
      <c r="F57" s="52">
        <f>IF($D57="","",IF([3]設定!$I33="",INDEX([3]第３表!$F$10:$Q$66,MATCH([3]設定!$D33,[3]第３表!$C$10:$C$66,0),2),[3]設定!$I33))</f>
        <v>94.8</v>
      </c>
      <c r="G57" s="52">
        <f>IF($D57="","",IF([3]設定!$I33="",INDEX([3]第３表!$F$10:$Q$66,MATCH([3]設定!$D33,[3]第３表!$C$10:$C$66,0),3),[3]設定!$I33))</f>
        <v>89.8</v>
      </c>
      <c r="H57" s="53">
        <f>IF($D57="","",IF([3]設定!$I33="",INDEX([3]第３表!$F$10:$Q$66,MATCH([3]設定!$D33,[3]第３表!$C$10:$C$66,0),4),[3]設定!$I33))</f>
        <v>5</v>
      </c>
      <c r="I57" s="54">
        <f>IF($D57="","",IF([3]設定!$I33="",INDEX([3]第３表!$F$10:$Q$66,MATCH([3]設定!$D33,[3]第３表!$C$10:$C$66,0),5),[3]設定!$I33))</f>
        <v>15.4</v>
      </c>
      <c r="J57" s="54">
        <f>IF($D57="","",IF([3]設定!$I33="",INDEX([3]第３表!$F$10:$Q$66,MATCH([3]設定!$D33,[3]第３表!$C$10:$C$66,0),6),[3]設定!$I33))</f>
        <v>105.6</v>
      </c>
      <c r="K57" s="54">
        <f>IF($D57="","",IF([3]設定!$I33="",INDEX([3]第３表!$F$10:$Q$66,MATCH([3]設定!$D33,[3]第３表!$C$10:$C$66,0),7),[3]設定!$I33))</f>
        <v>97.6</v>
      </c>
      <c r="L57" s="55">
        <f>IF($D57="","",IF([3]設定!$I33="",INDEX([3]第３表!$F$10:$Q$66,MATCH([3]設定!$D33,[3]第３表!$C$10:$C$66,0),8),[3]設定!$I33))</f>
        <v>8</v>
      </c>
      <c r="M57" s="56">
        <f>IF($D57="","",IF([3]設定!$I33="",INDEX([3]第３表!$F$10:$Q$66,MATCH([3]設定!$D33,[3]第３表!$C$10:$C$66,0),9),[3]設定!$I33))</f>
        <v>14.5</v>
      </c>
      <c r="N57" s="56">
        <f>IF($D57="","",IF([3]設定!$I33="",INDEX([3]第３表!$F$10:$Q$66,MATCH([3]設定!$D33,[3]第３表!$C$10:$C$66,0),10),[3]設定!$I33))</f>
        <v>88.9</v>
      </c>
      <c r="O57" s="56">
        <f>IF($D57="","",IF([3]設定!$I33="",INDEX([3]第３表!$F$10:$Q$66,MATCH([3]設定!$D33,[3]第３表!$C$10:$C$66,0),11),[3]設定!$I33))</f>
        <v>85.5</v>
      </c>
      <c r="P57" s="57">
        <f>IF($D57="","",IF([3]設定!$I33="",INDEX([3]第３表!$F$10:$Q$66,MATCH([3]設定!$D33,[3]第３表!$C$10:$C$66,0),12),[3]設定!$I33))</f>
        <v>3.4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f>IF($D58="","",IF([3]設定!$I34="",INDEX([3]第３表!$F$10:$Q$66,MATCH([3]設定!$D34,[3]第３表!$C$10:$C$66,0),1),[3]設定!$I34))</f>
        <v>16</v>
      </c>
      <c r="F58" s="52">
        <f>IF($D58="","",IF([3]設定!$I34="",INDEX([3]第３表!$F$10:$Q$66,MATCH([3]設定!$D34,[3]第３表!$C$10:$C$66,0),2),[3]設定!$I34))</f>
        <v>131.9</v>
      </c>
      <c r="G58" s="52">
        <f>IF($D58="","",IF([3]設定!$I34="",INDEX([3]第３表!$F$10:$Q$66,MATCH([3]設定!$D34,[3]第３表!$C$10:$C$66,0),3),[3]設定!$I34))</f>
        <v>124.5</v>
      </c>
      <c r="H58" s="53">
        <f>IF($D58="","",IF([3]設定!$I34="",INDEX([3]第３表!$F$10:$Q$66,MATCH([3]設定!$D34,[3]第３表!$C$10:$C$66,0),4),[3]設定!$I34))</f>
        <v>7.4</v>
      </c>
      <c r="I58" s="54">
        <f>IF($D58="","",IF([3]設定!$I34="",INDEX([3]第３表!$F$10:$Q$66,MATCH([3]設定!$D34,[3]第３表!$C$10:$C$66,0),5),[3]設定!$I34))</f>
        <v>16.2</v>
      </c>
      <c r="J58" s="54">
        <f>IF($D58="","",IF([3]設定!$I34="",INDEX([3]第３表!$F$10:$Q$66,MATCH([3]設定!$D34,[3]第３表!$C$10:$C$66,0),6),[3]設定!$I34))</f>
        <v>139.80000000000001</v>
      </c>
      <c r="K58" s="54">
        <f>IF($D58="","",IF([3]設定!$I34="",INDEX([3]第３表!$F$10:$Q$66,MATCH([3]設定!$D34,[3]第３表!$C$10:$C$66,0),7),[3]設定!$I34))</f>
        <v>130.30000000000001</v>
      </c>
      <c r="L58" s="55">
        <f>IF($D58="","",IF([3]設定!$I34="",INDEX([3]第３表!$F$10:$Q$66,MATCH([3]設定!$D34,[3]第３表!$C$10:$C$66,0),8),[3]設定!$I34))</f>
        <v>9.5</v>
      </c>
      <c r="M58" s="56">
        <f>IF($D58="","",IF([3]設定!$I34="",INDEX([3]第３表!$F$10:$Q$66,MATCH([3]設定!$D34,[3]第３表!$C$10:$C$66,0),9),[3]設定!$I34))</f>
        <v>15.7</v>
      </c>
      <c r="N58" s="56">
        <f>IF($D58="","",IF([3]設定!$I34="",INDEX([3]第３表!$F$10:$Q$66,MATCH([3]設定!$D34,[3]第３表!$C$10:$C$66,0),10),[3]設定!$I34))</f>
        <v>119.2</v>
      </c>
      <c r="O58" s="56">
        <f>IF($D58="","",IF([3]設定!$I34="",INDEX([3]第３表!$F$10:$Q$66,MATCH([3]設定!$D34,[3]第３表!$C$10:$C$66,0),11),[3]設定!$I34))</f>
        <v>115.1</v>
      </c>
      <c r="P58" s="57">
        <f>IF($D58="","",IF([3]設定!$I34="",INDEX([3]第３表!$F$10:$Q$66,MATCH([3]設定!$D34,[3]第３表!$C$10:$C$66,0),12),[3]設定!$I34))</f>
        <v>4.0999999999999996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IF($D59="","",IF([3]設定!$I35="",INDEX([3]第３表!$F$10:$Q$66,MATCH([3]設定!$D35,[3]第３表!$C$10:$C$66,0),1),[3]設定!$I35))</f>
        <v>17.3</v>
      </c>
      <c r="F59" s="52">
        <f>IF($D59="","",IF([3]設定!$I35="",INDEX([3]第３表!$F$10:$Q$66,MATCH([3]設定!$D35,[3]第３表!$C$10:$C$66,0),2),[3]設定!$I35))</f>
        <v>148.80000000000001</v>
      </c>
      <c r="G59" s="52">
        <f>IF($D59="","",IF([3]設定!$I35="",INDEX([3]第３表!$F$10:$Q$66,MATCH([3]設定!$D35,[3]第３表!$C$10:$C$66,0),3),[3]設定!$I35))</f>
        <v>127.3</v>
      </c>
      <c r="H59" s="53">
        <f>IF($D59="","",IF([3]設定!$I35="",INDEX([3]第３表!$F$10:$Q$66,MATCH([3]設定!$D35,[3]第３表!$C$10:$C$66,0),4),[3]設定!$I35))</f>
        <v>21.5</v>
      </c>
      <c r="I59" s="54">
        <f>IF($D59="","",IF([3]設定!$I35="",INDEX([3]第３表!$F$10:$Q$66,MATCH([3]設定!$D35,[3]第３表!$C$10:$C$66,0),5),[3]設定!$I35))</f>
        <v>17.600000000000001</v>
      </c>
      <c r="J59" s="54">
        <f>IF($D59="","",IF([3]設定!$I35="",INDEX([3]第３表!$F$10:$Q$66,MATCH([3]設定!$D35,[3]第３表!$C$10:$C$66,0),6),[3]設定!$I35))</f>
        <v>157.9</v>
      </c>
      <c r="K59" s="54">
        <f>IF($D59="","",IF([3]設定!$I35="",INDEX([3]第３表!$F$10:$Q$66,MATCH([3]設定!$D35,[3]第３表!$C$10:$C$66,0),7),[3]設定!$I35))</f>
        <v>131.6</v>
      </c>
      <c r="L59" s="55">
        <f>IF($D59="","",IF([3]設定!$I35="",INDEX([3]第３表!$F$10:$Q$66,MATCH([3]設定!$D35,[3]第３表!$C$10:$C$66,0),8),[3]設定!$I35))</f>
        <v>26.3</v>
      </c>
      <c r="M59" s="56">
        <f>IF($D59="","",IF([3]設定!$I35="",INDEX([3]第３表!$F$10:$Q$66,MATCH([3]設定!$D35,[3]第３表!$C$10:$C$66,0),9),[3]設定!$I35))</f>
        <v>17.100000000000001</v>
      </c>
      <c r="N59" s="56">
        <f>IF($D59="","",IF([3]設定!$I35="",INDEX([3]第３表!$F$10:$Q$66,MATCH([3]設定!$D35,[3]第３表!$C$10:$C$66,0),10),[3]設定!$I35))</f>
        <v>140.6</v>
      </c>
      <c r="O59" s="56">
        <f>IF($D59="","",IF([3]設定!$I35="",INDEX([3]第３表!$F$10:$Q$66,MATCH([3]設定!$D35,[3]第３表!$C$10:$C$66,0),11),[3]設定!$I35))</f>
        <v>123.4</v>
      </c>
      <c r="P59" s="57">
        <f>IF($D59="","",IF([3]設定!$I35="",INDEX([3]第３表!$F$10:$Q$66,MATCH([3]設定!$D35,[3]第３表!$C$10:$C$66,0),12),[3]設定!$I35))</f>
        <v>17.2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IF($D60="","",IF([3]設定!$I36="",INDEX([3]第３表!$F$10:$Q$66,MATCH([3]設定!$D36,[3]第３表!$C$10:$C$66,0),1),[3]設定!$I36))</f>
        <v>18</v>
      </c>
      <c r="F60" s="52">
        <f>IF($D60="","",IF([3]設定!$I36="",INDEX([3]第３表!$F$10:$Q$66,MATCH([3]設定!$D36,[3]第３表!$C$10:$C$66,0),2),[3]設定!$I36))</f>
        <v>135.19999999999999</v>
      </c>
      <c r="G60" s="52">
        <f>IF($D60="","",IF([3]設定!$I36="",INDEX([3]第３表!$F$10:$Q$66,MATCH([3]設定!$D36,[3]第３表!$C$10:$C$66,0),3),[3]設定!$I36))</f>
        <v>130.30000000000001</v>
      </c>
      <c r="H60" s="53">
        <f>IF($D60="","",IF([3]設定!$I36="",INDEX([3]第３表!$F$10:$Q$66,MATCH([3]設定!$D36,[3]第３表!$C$10:$C$66,0),4),[3]設定!$I36))</f>
        <v>4.9000000000000004</v>
      </c>
      <c r="I60" s="54">
        <f>IF($D60="","",IF([3]設定!$I36="",INDEX([3]第３表!$F$10:$Q$66,MATCH([3]設定!$D36,[3]第３表!$C$10:$C$66,0),5),[3]設定!$I36))</f>
        <v>18.2</v>
      </c>
      <c r="J60" s="54">
        <f>IF($D60="","",IF([3]設定!$I36="",INDEX([3]第３表!$F$10:$Q$66,MATCH([3]設定!$D36,[3]第３表!$C$10:$C$66,0),6),[3]設定!$I36))</f>
        <v>142.19999999999999</v>
      </c>
      <c r="K60" s="54">
        <f>IF($D60="","",IF([3]設定!$I36="",INDEX([3]第３表!$F$10:$Q$66,MATCH([3]設定!$D36,[3]第３表!$C$10:$C$66,0),7),[3]設定!$I36))</f>
        <v>136.30000000000001</v>
      </c>
      <c r="L60" s="55">
        <f>IF($D60="","",IF([3]設定!$I36="",INDEX([3]第３表!$F$10:$Q$66,MATCH([3]設定!$D36,[3]第３表!$C$10:$C$66,0),8),[3]設定!$I36))</f>
        <v>5.9</v>
      </c>
      <c r="M60" s="56">
        <f>IF($D60="","",IF([3]設定!$I36="",INDEX([3]第３表!$F$10:$Q$66,MATCH([3]設定!$D36,[3]第３表!$C$10:$C$66,0),9),[3]設定!$I36))</f>
        <v>17.899999999999999</v>
      </c>
      <c r="N60" s="56">
        <f>IF($D60="","",IF([3]設定!$I36="",INDEX([3]第３表!$F$10:$Q$66,MATCH([3]設定!$D36,[3]第３表!$C$10:$C$66,0),10),[3]設定!$I36))</f>
        <v>132.69999999999999</v>
      </c>
      <c r="O60" s="56">
        <f>IF($D60="","",IF([3]設定!$I36="",INDEX([3]第３表!$F$10:$Q$66,MATCH([3]設定!$D36,[3]第３表!$C$10:$C$66,0),11),[3]設定!$I36))</f>
        <v>128.1</v>
      </c>
      <c r="P60" s="57">
        <f>IF($D60="","",IF([3]設定!$I36="",INDEX([3]第３表!$F$10:$Q$66,MATCH([3]設定!$D36,[3]第３表!$C$10:$C$66,0),12),[3]設定!$I36))</f>
        <v>4.5999999999999996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IF($D61="","",IF([3]設定!$I37="",INDEX([3]第３表!$F$10:$Q$66,MATCH([3]設定!$D37,[3]第３表!$C$10:$C$66,0),1),[3]設定!$I37))</f>
        <v>17.8</v>
      </c>
      <c r="F61" s="52">
        <f>IF($D61="","",IF([3]設定!$I37="",INDEX([3]第３表!$F$10:$Q$66,MATCH([3]設定!$D37,[3]第３表!$C$10:$C$66,0),2),[3]設定!$I37))</f>
        <v>141.1</v>
      </c>
      <c r="G61" s="52">
        <f>IF($D61="","",IF([3]設定!$I37="",INDEX([3]第３表!$F$10:$Q$66,MATCH([3]設定!$D37,[3]第３表!$C$10:$C$66,0),3),[3]設定!$I37))</f>
        <v>136.9</v>
      </c>
      <c r="H61" s="53">
        <f>IF($D61="","",IF([3]設定!$I37="",INDEX([3]第３表!$F$10:$Q$66,MATCH([3]設定!$D37,[3]第３表!$C$10:$C$66,0),4),[3]設定!$I37))</f>
        <v>4.2</v>
      </c>
      <c r="I61" s="54">
        <f>IF($D61="","",IF([3]設定!$I37="",INDEX([3]第３表!$F$10:$Q$66,MATCH([3]設定!$D37,[3]第３表!$C$10:$C$66,0),5),[3]設定!$I37))</f>
        <v>18</v>
      </c>
      <c r="J61" s="54">
        <f>IF($D61="","",IF([3]設定!$I37="",INDEX([3]第３表!$F$10:$Q$66,MATCH([3]設定!$D37,[3]第３表!$C$10:$C$66,0),6),[3]設定!$I37))</f>
        <v>144.30000000000001</v>
      </c>
      <c r="K61" s="54">
        <f>IF($D61="","",IF([3]設定!$I37="",INDEX([3]第３表!$F$10:$Q$66,MATCH([3]設定!$D37,[3]第３表!$C$10:$C$66,0),7),[3]設定!$I37))</f>
        <v>140.80000000000001</v>
      </c>
      <c r="L61" s="55">
        <f>IF($D61="","",IF([3]設定!$I37="",INDEX([3]第３表!$F$10:$Q$66,MATCH([3]設定!$D37,[3]第３表!$C$10:$C$66,0),8),[3]設定!$I37))</f>
        <v>3.5</v>
      </c>
      <c r="M61" s="56">
        <f>IF($D61="","",IF([3]設定!$I37="",INDEX([3]第３表!$F$10:$Q$66,MATCH([3]設定!$D37,[3]第３表!$C$10:$C$66,0),9),[3]設定!$I37))</f>
        <v>17.600000000000001</v>
      </c>
      <c r="N61" s="56">
        <f>IF($D61="","",IF([3]設定!$I37="",INDEX([3]第３表!$F$10:$Q$66,MATCH([3]設定!$D37,[3]第３表!$C$10:$C$66,0),10),[3]設定!$I37))</f>
        <v>136.4</v>
      </c>
      <c r="O61" s="56">
        <f>IF($D61="","",IF([3]設定!$I37="",INDEX([3]第３表!$F$10:$Q$66,MATCH([3]設定!$D37,[3]第３表!$C$10:$C$66,0),11),[3]設定!$I37))</f>
        <v>131.30000000000001</v>
      </c>
      <c r="P61" s="57">
        <f>IF($D61="","",IF([3]設定!$I37="",INDEX([3]第３表!$F$10:$Q$66,MATCH([3]設定!$D37,[3]第３表!$C$10:$C$66,0),12),[3]設定!$I37))</f>
        <v>5.0999999999999996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IF($D62="","",IF([3]設定!$I38="",INDEX([3]第３表!$F$10:$Q$66,MATCH([3]設定!$D38,[3]第３表!$C$10:$C$66,0),1),[3]設定!$I38))</f>
        <v>17.5</v>
      </c>
      <c r="F62" s="52">
        <f>IF($D62="","",IF([3]設定!$I38="",INDEX([3]第３表!$F$10:$Q$66,MATCH([3]設定!$D38,[3]第３表!$C$10:$C$66,0),2),[3]設定!$I38))</f>
        <v>132.6</v>
      </c>
      <c r="G62" s="52">
        <f>IF($D62="","",IF([3]設定!$I38="",INDEX([3]第３表!$F$10:$Q$66,MATCH([3]設定!$D38,[3]第３表!$C$10:$C$66,0),3),[3]設定!$I38))</f>
        <v>124.1</v>
      </c>
      <c r="H62" s="53">
        <f>IF($D62="","",IF([3]設定!$I38="",INDEX([3]第３表!$F$10:$Q$66,MATCH([3]設定!$D38,[3]第３表!$C$10:$C$66,0),4),[3]設定!$I38))</f>
        <v>8.5</v>
      </c>
      <c r="I62" s="54">
        <f>IF($D62="","",IF([3]設定!$I38="",INDEX([3]第３表!$F$10:$Q$66,MATCH([3]設定!$D38,[3]第３表!$C$10:$C$66,0),5),[3]設定!$I38))</f>
        <v>17.899999999999999</v>
      </c>
      <c r="J62" s="54">
        <f>IF($D62="","",IF([3]設定!$I38="",INDEX([3]第３表!$F$10:$Q$66,MATCH([3]設定!$D38,[3]第３表!$C$10:$C$66,0),6),[3]設定!$I38))</f>
        <v>149.80000000000001</v>
      </c>
      <c r="K62" s="54">
        <f>IF($D62="","",IF([3]設定!$I38="",INDEX([3]第３表!$F$10:$Q$66,MATCH([3]設定!$D38,[3]第３表!$C$10:$C$66,0),7),[3]設定!$I38))</f>
        <v>137.4</v>
      </c>
      <c r="L62" s="55">
        <f>IF($D62="","",IF([3]設定!$I38="",INDEX([3]第３表!$F$10:$Q$66,MATCH([3]設定!$D38,[3]第３表!$C$10:$C$66,0),8),[3]設定!$I38))</f>
        <v>12.4</v>
      </c>
      <c r="M62" s="56">
        <f>IF($D62="","",IF([3]設定!$I38="",INDEX([3]第３表!$F$10:$Q$66,MATCH([3]設定!$D38,[3]第３表!$C$10:$C$66,0),9),[3]設定!$I38))</f>
        <v>17.100000000000001</v>
      </c>
      <c r="N62" s="56">
        <f>IF($D62="","",IF([3]設定!$I38="",INDEX([3]第３表!$F$10:$Q$66,MATCH([3]設定!$D38,[3]第３表!$C$10:$C$66,0),10),[3]設定!$I38))</f>
        <v>115.5</v>
      </c>
      <c r="O62" s="56">
        <f>IF($D62="","",IF([3]設定!$I38="",INDEX([3]第３表!$F$10:$Q$66,MATCH([3]設定!$D38,[3]第３表!$C$10:$C$66,0),11),[3]設定!$I38))</f>
        <v>110.8</v>
      </c>
      <c r="P62" s="57">
        <f>IF($D62="","",IF([3]設定!$I38="",INDEX([3]第３表!$F$10:$Q$66,MATCH([3]設定!$D38,[3]第３表!$C$10:$C$66,0),12),[3]設定!$I38))</f>
        <v>4.7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IF($D63="","",IF([3]設定!$I39="",INDEX([3]第３表!$F$10:$Q$66,MATCH([3]設定!$D39,[3]第３表!$C$10:$C$66,0),1),[3]設定!$I39))</f>
        <v>19.2</v>
      </c>
      <c r="F63" s="48">
        <f>IF($D63="","",IF([3]設定!$I39="",INDEX([3]第３表!$F$10:$Q$66,MATCH([3]設定!$D39,[3]第３表!$C$10:$C$66,0),2),[3]設定!$I39))</f>
        <v>152.80000000000001</v>
      </c>
      <c r="G63" s="48">
        <f>IF($D63="","",IF([3]設定!$I39="",INDEX([3]第３表!$F$10:$Q$66,MATCH([3]設定!$D39,[3]第３表!$C$10:$C$66,0),3),[3]設定!$I39))</f>
        <v>142.19999999999999</v>
      </c>
      <c r="H63" s="64">
        <f>IF($D63="","",IF([3]設定!$I39="",INDEX([3]第３表!$F$10:$Q$66,MATCH([3]設定!$D39,[3]第３表!$C$10:$C$66,0),4),[3]設定!$I39))</f>
        <v>10.6</v>
      </c>
      <c r="I63" s="48">
        <f>IF($D63="","",IF([3]設定!$I39="",INDEX([3]第３表!$F$10:$Q$66,MATCH([3]設定!$D39,[3]第３表!$C$10:$C$66,0),5),[3]設定!$I39))</f>
        <v>19.7</v>
      </c>
      <c r="J63" s="48">
        <f>IF($D63="","",IF([3]設定!$I39="",INDEX([3]第３表!$F$10:$Q$66,MATCH([3]設定!$D39,[3]第３表!$C$10:$C$66,0),6),[3]設定!$I39))</f>
        <v>165.4</v>
      </c>
      <c r="K63" s="48">
        <f>IF($D63="","",IF([3]設定!$I39="",INDEX([3]第３表!$F$10:$Q$66,MATCH([3]設定!$D39,[3]第３表!$C$10:$C$66,0),7),[3]設定!$I39))</f>
        <v>151.4</v>
      </c>
      <c r="L63" s="64">
        <f>IF($D63="","",IF([3]設定!$I39="",INDEX([3]第３表!$F$10:$Q$66,MATCH([3]設定!$D39,[3]第３表!$C$10:$C$66,0),8),[3]設定!$I39))</f>
        <v>14</v>
      </c>
      <c r="M63" s="48">
        <f>IF($D63="","",IF([3]設定!$I39="",INDEX([3]第３表!$F$10:$Q$66,MATCH([3]設定!$D39,[3]第３表!$C$10:$C$66,0),9),[3]設定!$I39))</f>
        <v>18.7</v>
      </c>
      <c r="N63" s="48">
        <f>IF($D63="","",IF([3]設定!$I39="",INDEX([3]第３表!$F$10:$Q$66,MATCH([3]設定!$D39,[3]第３表!$C$10:$C$66,0),10),[3]設定!$I39))</f>
        <v>141</v>
      </c>
      <c r="O63" s="48">
        <f>IF($D63="","",IF([3]設定!$I39="",INDEX([3]第３表!$F$10:$Q$66,MATCH([3]設定!$D39,[3]第３表!$C$10:$C$66,0),11),[3]設定!$I39))</f>
        <v>133.6</v>
      </c>
      <c r="P63" s="64">
        <f>IF($D63="","",IF([3]設定!$I39="",INDEX([3]第３表!$F$10:$Q$66,MATCH([3]設定!$D39,[3]第３表!$C$10:$C$66,0),12),[3]設定!$I39))</f>
        <v>7.4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IF($D64="","",IF([3]設定!$I40="",INDEX([3]第３表!$F$10:$Q$66,MATCH([3]設定!$D40,[3]第３表!$C$10:$C$66,0),1),[3]設定!$I40))</f>
        <v>19.8</v>
      </c>
      <c r="F64" s="52">
        <f>IF($D64="","",IF([3]設定!$I40="",INDEX([3]第３表!$F$10:$Q$66,MATCH([3]設定!$D40,[3]第３表!$C$10:$C$66,0),2),[3]設定!$I40))</f>
        <v>167.3</v>
      </c>
      <c r="G64" s="52">
        <f>IF($D64="","",IF([3]設定!$I40="",INDEX([3]第３表!$F$10:$Q$66,MATCH([3]設定!$D40,[3]第３表!$C$10:$C$66,0),3),[3]設定!$I40))</f>
        <v>150.6</v>
      </c>
      <c r="H64" s="55">
        <f>IF($D64="","",IF([3]設定!$I40="",INDEX([3]第３表!$F$10:$Q$66,MATCH([3]設定!$D40,[3]第３表!$C$10:$C$66,0),4),[3]設定!$I40))</f>
        <v>16.7</v>
      </c>
      <c r="I64" s="52">
        <f>IF($D64="","",IF([3]設定!$I40="",INDEX([3]第３表!$F$10:$Q$66,MATCH([3]設定!$D40,[3]第３表!$C$10:$C$66,0),5),[3]設定!$I40))</f>
        <v>19</v>
      </c>
      <c r="J64" s="52">
        <f>IF($D64="","",IF([3]設定!$I40="",INDEX([3]第３表!$F$10:$Q$66,MATCH([3]設定!$D40,[3]第３表!$C$10:$C$66,0),6),[3]設定!$I40))</f>
        <v>157.9</v>
      </c>
      <c r="K64" s="52">
        <f>IF($D64="","",IF([3]設定!$I40="",INDEX([3]第３表!$F$10:$Q$66,MATCH([3]設定!$D40,[3]第３表!$C$10:$C$66,0),7),[3]設定!$I40))</f>
        <v>143.6</v>
      </c>
      <c r="L64" s="55">
        <f>IF($D64="","",IF([3]設定!$I40="",INDEX([3]第３表!$F$10:$Q$66,MATCH([3]設定!$D40,[3]第３表!$C$10:$C$66,0),8),[3]設定!$I40))</f>
        <v>14.3</v>
      </c>
      <c r="M64" s="52">
        <f>IF($D64="","",IF([3]設定!$I40="",INDEX([3]第３表!$F$10:$Q$66,MATCH([3]設定!$D40,[3]第３表!$C$10:$C$66,0),9),[3]設定!$I40))</f>
        <v>20.399999999999999</v>
      </c>
      <c r="N64" s="52">
        <f>IF($D64="","",IF([3]設定!$I40="",INDEX([3]第３表!$F$10:$Q$66,MATCH([3]設定!$D40,[3]第３表!$C$10:$C$66,0),10),[3]設定!$I40))</f>
        <v>174.3</v>
      </c>
      <c r="O64" s="52">
        <f>IF($D64="","",IF([3]設定!$I40="",INDEX([3]第３表!$F$10:$Q$66,MATCH([3]設定!$D40,[3]第３表!$C$10:$C$66,0),11),[3]設定!$I40))</f>
        <v>155.80000000000001</v>
      </c>
      <c r="P64" s="55">
        <f>IF($D64="","",IF([3]設定!$I40="",INDEX([3]第３表!$F$10:$Q$66,MATCH([3]設定!$D40,[3]第３表!$C$10:$C$66,0),12),[3]設定!$I40))</f>
        <v>18.5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IF($D65="","",IF([3]設定!$I41="",INDEX([3]第３表!$F$10:$Q$66,MATCH([3]設定!$D41,[3]第３表!$C$10:$C$66,0),1),[3]設定!$I41))</f>
        <v>19.3</v>
      </c>
      <c r="F65" s="52">
        <f>IF($D65="","",IF([3]設定!$I41="",INDEX([3]第３表!$F$10:$Q$66,MATCH([3]設定!$D41,[3]第３表!$C$10:$C$66,0),2),[3]設定!$I41))</f>
        <v>155.30000000000001</v>
      </c>
      <c r="G65" s="52">
        <f>IF($D65="","",IF([3]設定!$I41="",INDEX([3]第３表!$F$10:$Q$66,MATCH([3]設定!$D41,[3]第３表!$C$10:$C$66,0),3),[3]設定!$I41))</f>
        <v>142.80000000000001</v>
      </c>
      <c r="H65" s="55">
        <f>IF($D65="","",IF([3]設定!$I41="",INDEX([3]第３表!$F$10:$Q$66,MATCH([3]設定!$D41,[3]第３表!$C$10:$C$66,0),4),[3]設定!$I41))</f>
        <v>12.5</v>
      </c>
      <c r="I65" s="52">
        <f>IF($D65="","",IF([3]設定!$I41="",INDEX([3]第３表!$F$10:$Q$66,MATCH([3]設定!$D41,[3]第３表!$C$10:$C$66,0),5),[3]設定!$I41))</f>
        <v>19.100000000000001</v>
      </c>
      <c r="J65" s="52">
        <f>IF($D65="","",IF([3]設定!$I41="",INDEX([3]第３表!$F$10:$Q$66,MATCH([3]設定!$D41,[3]第３表!$C$10:$C$66,0),6),[3]設定!$I41))</f>
        <v>159.69999999999999</v>
      </c>
      <c r="K65" s="52">
        <f>IF($D65="","",IF([3]設定!$I41="",INDEX([3]第３表!$F$10:$Q$66,MATCH([3]設定!$D41,[3]第３表!$C$10:$C$66,0),7),[3]設定!$I41))</f>
        <v>145.19999999999999</v>
      </c>
      <c r="L65" s="55">
        <f>IF($D65="","",IF([3]設定!$I41="",INDEX([3]第３表!$F$10:$Q$66,MATCH([3]設定!$D41,[3]第３表!$C$10:$C$66,0),8),[3]設定!$I41))</f>
        <v>14.5</v>
      </c>
      <c r="M65" s="52">
        <f>IF($D65="","",IF([3]設定!$I41="",INDEX([3]第３表!$F$10:$Q$66,MATCH([3]設定!$D41,[3]第３表!$C$10:$C$66,0),9),[3]設定!$I41))</f>
        <v>20.100000000000001</v>
      </c>
      <c r="N65" s="52">
        <f>IF($D65="","",IF([3]設定!$I41="",INDEX([3]第３表!$F$10:$Q$66,MATCH([3]設定!$D41,[3]第３表!$C$10:$C$66,0),10),[3]設定!$I41))</f>
        <v>135.5</v>
      </c>
      <c r="O65" s="52">
        <f>IF($D65="","",IF([3]設定!$I41="",INDEX([3]第３表!$F$10:$Q$66,MATCH([3]設定!$D41,[3]第３表!$C$10:$C$66,0),11),[3]設定!$I41))</f>
        <v>132.1</v>
      </c>
      <c r="P65" s="55">
        <f>IF($D65="","",IF([3]設定!$I41="",INDEX([3]第３表!$F$10:$Q$66,MATCH([3]設定!$D41,[3]第３表!$C$10:$C$66,0),12),[3]設定!$I41))</f>
        <v>3.4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IF($D66="","",IF([3]設定!$I42="",INDEX([3]第３表!$F$10:$Q$66,MATCH([3]設定!$D42,[3]第３表!$C$10:$C$66,0),1),[3]設定!$I42))</f>
        <v>x</v>
      </c>
      <c r="F66" s="52" t="str">
        <f>IF($D66="","",IF([3]設定!$I42="",INDEX([3]第３表!$F$10:$Q$66,MATCH([3]設定!$D42,[3]第３表!$C$10:$C$66,0),2),[3]設定!$I42))</f>
        <v>x</v>
      </c>
      <c r="G66" s="52" t="str">
        <f>IF($D66="","",IF([3]設定!$I42="",INDEX([3]第３表!$F$10:$Q$66,MATCH([3]設定!$D42,[3]第３表!$C$10:$C$66,0),3),[3]設定!$I42))</f>
        <v>x</v>
      </c>
      <c r="H66" s="55" t="str">
        <f>IF($D66="","",IF([3]設定!$I42="",INDEX([3]第３表!$F$10:$Q$66,MATCH([3]設定!$D42,[3]第３表!$C$10:$C$66,0),4),[3]設定!$I42))</f>
        <v>x</v>
      </c>
      <c r="I66" s="52" t="str">
        <f>IF($D66="","",IF([3]設定!$I42="",INDEX([3]第３表!$F$10:$Q$66,MATCH([3]設定!$D42,[3]第３表!$C$10:$C$66,0),5),[3]設定!$I42))</f>
        <v>x</v>
      </c>
      <c r="J66" s="52" t="str">
        <f>IF($D66="","",IF([3]設定!$I42="",INDEX([3]第３表!$F$10:$Q$66,MATCH([3]設定!$D42,[3]第３表!$C$10:$C$66,0),6),[3]設定!$I42))</f>
        <v>x</v>
      </c>
      <c r="K66" s="52" t="str">
        <f>IF($D66="","",IF([3]設定!$I42="",INDEX([3]第３表!$F$10:$Q$66,MATCH([3]設定!$D42,[3]第３表!$C$10:$C$66,0),7),[3]設定!$I42))</f>
        <v>x</v>
      </c>
      <c r="L66" s="55" t="str">
        <f>IF($D66="","",IF([3]設定!$I42="",INDEX([3]第３表!$F$10:$Q$66,MATCH([3]設定!$D42,[3]第３表!$C$10:$C$66,0),8),[3]設定!$I42))</f>
        <v>x</v>
      </c>
      <c r="M66" s="52" t="str">
        <f>IF($D66="","",IF([3]設定!$I42="",INDEX([3]第３表!$F$10:$Q$66,MATCH([3]設定!$D42,[3]第３表!$C$10:$C$66,0),9),[3]設定!$I42))</f>
        <v>x</v>
      </c>
      <c r="N66" s="52" t="str">
        <f>IF($D66="","",IF([3]設定!$I42="",INDEX([3]第３表!$F$10:$Q$66,MATCH([3]設定!$D42,[3]第３表!$C$10:$C$66,0),10),[3]設定!$I42))</f>
        <v>x</v>
      </c>
      <c r="O66" s="52" t="str">
        <f>IF($D66="","",IF([3]設定!$I42="",INDEX([3]第３表!$F$10:$Q$66,MATCH([3]設定!$D42,[3]第３表!$C$10:$C$66,0),11),[3]設定!$I42))</f>
        <v>x</v>
      </c>
      <c r="P66" s="55" t="str">
        <f>IF($D66="","",IF([3]設定!$I42="",INDEX([3]第３表!$F$10:$Q$66,MATCH([3]設定!$D42,[3]第３表!$C$10:$C$66,0),12),[3]設定!$I42))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>
        <f>IF($D67="","",IF([3]設定!$I43="",INDEX([3]第３表!$F$10:$Q$66,MATCH([3]設定!$D43,[3]第３表!$C$10:$C$66,0),1),[3]設定!$I43))</f>
        <v>17.899999999999999</v>
      </c>
      <c r="F67" s="52">
        <f>IF($D67="","",IF([3]設定!$I43="",INDEX([3]第３表!$F$10:$Q$66,MATCH([3]設定!$D43,[3]第３表!$C$10:$C$66,0),2),[3]設定!$I43))</f>
        <v>140.5</v>
      </c>
      <c r="G67" s="52">
        <f>IF($D67="","",IF([3]設定!$I43="",INDEX([3]第３表!$F$10:$Q$66,MATCH([3]設定!$D43,[3]第３表!$C$10:$C$66,0),3),[3]設定!$I43))</f>
        <v>132.30000000000001</v>
      </c>
      <c r="H67" s="55">
        <f>IF($D67="","",IF([3]設定!$I43="",INDEX([3]第３表!$F$10:$Q$66,MATCH([3]設定!$D43,[3]第３表!$C$10:$C$66,0),4),[3]設定!$I43))</f>
        <v>8.1999999999999993</v>
      </c>
      <c r="I67" s="52">
        <f>IF($D67="","",IF([3]設定!$I43="",INDEX([3]第３表!$F$10:$Q$66,MATCH([3]設定!$D43,[3]第３表!$C$10:$C$66,0),5),[3]設定!$I43))</f>
        <v>18</v>
      </c>
      <c r="J67" s="52">
        <f>IF($D67="","",IF([3]設定!$I43="",INDEX([3]第３表!$F$10:$Q$66,MATCH([3]設定!$D43,[3]第３表!$C$10:$C$66,0),6),[3]設定!$I43))</f>
        <v>141</v>
      </c>
      <c r="K67" s="52">
        <f>IF($D67="","",IF([3]設定!$I43="",INDEX([3]第３表!$F$10:$Q$66,MATCH([3]設定!$D43,[3]第３表!$C$10:$C$66,0),7),[3]設定!$I43))</f>
        <v>131.80000000000001</v>
      </c>
      <c r="L67" s="55">
        <f>IF($D67="","",IF([3]設定!$I43="",INDEX([3]第３表!$F$10:$Q$66,MATCH([3]設定!$D43,[3]第３表!$C$10:$C$66,0),8),[3]設定!$I43))</f>
        <v>9.1999999999999993</v>
      </c>
      <c r="M67" s="52">
        <f>IF($D67="","",IF([3]設定!$I43="",INDEX([3]第３表!$F$10:$Q$66,MATCH([3]設定!$D43,[3]第３表!$C$10:$C$66,0),9),[3]設定!$I43))</f>
        <v>17.899999999999999</v>
      </c>
      <c r="N67" s="52">
        <f>IF($D67="","",IF([3]設定!$I43="",INDEX([3]第３表!$F$10:$Q$66,MATCH([3]設定!$D43,[3]第３表!$C$10:$C$66,0),10),[3]設定!$I43))</f>
        <v>138.80000000000001</v>
      </c>
      <c r="O67" s="52">
        <f>IF($D67="","",IF([3]設定!$I43="",INDEX([3]第３表!$F$10:$Q$66,MATCH([3]設定!$D43,[3]第３表!$C$10:$C$66,0),11),[3]設定!$I43))</f>
        <v>133.4</v>
      </c>
      <c r="P67" s="55">
        <f>IF($D67="","",IF([3]設定!$I43="",INDEX([3]第３表!$F$10:$Q$66,MATCH([3]設定!$D43,[3]第３表!$C$10:$C$66,0),12),[3]設定!$I43))</f>
        <v>5.4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IF($D68="","",IF([3]設定!$I44="",INDEX([3]第３表!$F$10:$Q$66,MATCH([3]設定!$D44,[3]第３表!$C$10:$C$66,0),1),[3]設定!$I44))</f>
        <v>19.100000000000001</v>
      </c>
      <c r="F68" s="52">
        <f>IF($D68="","",IF([3]設定!$I44="",INDEX([3]第３表!$F$10:$Q$66,MATCH([3]設定!$D44,[3]第３表!$C$10:$C$66,0),2),[3]設定!$I44))</f>
        <v>157.1</v>
      </c>
      <c r="G68" s="52">
        <f>IF($D68="","",IF([3]設定!$I44="",INDEX([3]第３表!$F$10:$Q$66,MATCH([3]設定!$D44,[3]第３表!$C$10:$C$66,0),3),[3]設定!$I44))</f>
        <v>140</v>
      </c>
      <c r="H68" s="55">
        <f>IF($D68="","",IF([3]設定!$I44="",INDEX([3]第３表!$F$10:$Q$66,MATCH([3]設定!$D44,[3]第３表!$C$10:$C$66,0),4),[3]設定!$I44))</f>
        <v>17.100000000000001</v>
      </c>
      <c r="I68" s="52">
        <f>IF($D68="","",IF([3]設定!$I44="",INDEX([3]第３表!$F$10:$Q$66,MATCH([3]設定!$D44,[3]第３表!$C$10:$C$66,0),5),[3]設定!$I44))</f>
        <v>19.100000000000001</v>
      </c>
      <c r="J68" s="52">
        <f>IF($D68="","",IF([3]設定!$I44="",INDEX([3]第３表!$F$10:$Q$66,MATCH([3]設定!$D44,[3]第３表!$C$10:$C$66,0),6),[3]設定!$I44))</f>
        <v>158.19999999999999</v>
      </c>
      <c r="K68" s="52">
        <f>IF($D68="","",IF([3]設定!$I44="",INDEX([3]第３表!$F$10:$Q$66,MATCH([3]設定!$D44,[3]第３表!$C$10:$C$66,0),7),[3]設定!$I44))</f>
        <v>140.1</v>
      </c>
      <c r="L68" s="55">
        <f>IF($D68="","",IF([3]設定!$I44="",INDEX([3]第３表!$F$10:$Q$66,MATCH([3]設定!$D44,[3]第３表!$C$10:$C$66,0),8),[3]設定!$I44))</f>
        <v>18.100000000000001</v>
      </c>
      <c r="M68" s="52">
        <f>IF($D68="","",IF([3]設定!$I44="",INDEX([3]第３表!$F$10:$Q$66,MATCH([3]設定!$D44,[3]第３表!$C$10:$C$66,0),9),[3]設定!$I44))</f>
        <v>18.7</v>
      </c>
      <c r="N68" s="52">
        <f>IF($D68="","",IF([3]設定!$I44="",INDEX([3]第３表!$F$10:$Q$66,MATCH([3]設定!$D44,[3]第３表!$C$10:$C$66,0),10),[3]設定!$I44))</f>
        <v>142.69999999999999</v>
      </c>
      <c r="O68" s="52">
        <f>IF($D68="","",IF([3]設定!$I44="",INDEX([3]第３表!$F$10:$Q$66,MATCH([3]設定!$D44,[3]第３表!$C$10:$C$66,0),11),[3]設定!$I44))</f>
        <v>137.9</v>
      </c>
      <c r="P68" s="55">
        <f>IF($D68="","",IF([3]設定!$I44="",INDEX([3]第３表!$F$10:$Q$66,MATCH([3]設定!$D44,[3]第３表!$C$10:$C$66,0),12),[3]設定!$I44))</f>
        <v>4.8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IF($D69="","",IF([3]設定!$I45="",INDEX([3]第３表!$F$10:$Q$66,MATCH([3]設定!$D45,[3]第３表!$C$10:$C$66,0),1),[3]設定!$I45))</f>
        <v>18.399999999999999</v>
      </c>
      <c r="F69" s="52">
        <f>IF($D69="","",IF([3]設定!$I45="",INDEX([3]第３表!$F$10:$Q$66,MATCH([3]設定!$D45,[3]第３表!$C$10:$C$66,0),2),[3]設定!$I45))</f>
        <v>145.5</v>
      </c>
      <c r="G69" s="52">
        <f>IF($D69="","",IF([3]設定!$I45="",INDEX([3]第３表!$F$10:$Q$66,MATCH([3]設定!$D45,[3]第３表!$C$10:$C$66,0),3),[3]設定!$I45))</f>
        <v>137.6</v>
      </c>
      <c r="H69" s="55">
        <f>IF($D69="","",IF([3]設定!$I45="",INDEX([3]第３表!$F$10:$Q$66,MATCH([3]設定!$D45,[3]第３表!$C$10:$C$66,0),4),[3]設定!$I45))</f>
        <v>7.9</v>
      </c>
      <c r="I69" s="52">
        <f>IF($D69="","",IF([3]設定!$I45="",INDEX([3]第３表!$F$10:$Q$66,MATCH([3]設定!$D45,[3]第３表!$C$10:$C$66,0),5),[3]設定!$I45))</f>
        <v>18.7</v>
      </c>
      <c r="J69" s="52">
        <f>IF($D69="","",IF([3]設定!$I45="",INDEX([3]第３表!$F$10:$Q$66,MATCH([3]設定!$D45,[3]第３表!$C$10:$C$66,0),6),[3]設定!$I45))</f>
        <v>155.1</v>
      </c>
      <c r="K69" s="52">
        <f>IF($D69="","",IF([3]設定!$I45="",INDEX([3]第３表!$F$10:$Q$66,MATCH([3]設定!$D45,[3]第３表!$C$10:$C$66,0),7),[3]設定!$I45))</f>
        <v>144.69999999999999</v>
      </c>
      <c r="L69" s="55">
        <f>IF($D69="","",IF([3]設定!$I45="",INDEX([3]第３表!$F$10:$Q$66,MATCH([3]設定!$D45,[3]第３表!$C$10:$C$66,0),8),[3]設定!$I45))</f>
        <v>10.4</v>
      </c>
      <c r="M69" s="52">
        <f>IF($D69="","",IF([3]設定!$I45="",INDEX([3]第３表!$F$10:$Q$66,MATCH([3]設定!$D45,[3]第３表!$C$10:$C$66,0),9),[3]設定!$I45))</f>
        <v>17.5</v>
      </c>
      <c r="N69" s="52">
        <f>IF($D69="","",IF([3]設定!$I45="",INDEX([3]第３表!$F$10:$Q$66,MATCH([3]設定!$D45,[3]第３表!$C$10:$C$66,0),10),[3]設定!$I45))</f>
        <v>120</v>
      </c>
      <c r="O69" s="52">
        <f>IF($D69="","",IF([3]設定!$I45="",INDEX([3]第３表!$F$10:$Q$66,MATCH([3]設定!$D45,[3]第３表!$C$10:$C$66,0),11),[3]設定!$I45))</f>
        <v>118.7</v>
      </c>
      <c r="P69" s="55">
        <f>IF($D69="","",IF([3]設定!$I45="",INDEX([3]第３表!$F$10:$Q$66,MATCH([3]設定!$D45,[3]第３表!$C$10:$C$66,0),12),[3]設定!$I45))</f>
        <v>1.3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IF($D70="","",IF([3]設定!$I46="",INDEX([3]第３表!$F$10:$Q$66,MATCH([3]設定!$D46,[3]第３表!$C$10:$C$66,0),1),[3]設定!$I46))</f>
        <v>19.399999999999999</v>
      </c>
      <c r="F70" s="52">
        <f>IF($D70="","",IF([3]設定!$I46="",INDEX([3]第３表!$F$10:$Q$66,MATCH([3]設定!$D46,[3]第３表!$C$10:$C$66,0),2),[3]設定!$I46))</f>
        <v>165.2</v>
      </c>
      <c r="G70" s="52">
        <f>IF($D70="","",IF([3]設定!$I46="",INDEX([3]第３表!$F$10:$Q$66,MATCH([3]設定!$D46,[3]第３表!$C$10:$C$66,0),3),[3]設定!$I46))</f>
        <v>143.19999999999999</v>
      </c>
      <c r="H70" s="55">
        <f>IF($D70="","",IF([3]設定!$I46="",INDEX([3]第３表!$F$10:$Q$66,MATCH([3]設定!$D46,[3]第３表!$C$10:$C$66,0),4),[3]設定!$I46))</f>
        <v>22</v>
      </c>
      <c r="I70" s="52">
        <f>IF($D70="","",IF([3]設定!$I46="",INDEX([3]第３表!$F$10:$Q$66,MATCH([3]設定!$D46,[3]第３表!$C$10:$C$66,0),5),[3]設定!$I46))</f>
        <v>19.399999999999999</v>
      </c>
      <c r="J70" s="52">
        <f>IF($D70="","",IF([3]設定!$I46="",INDEX([3]第３表!$F$10:$Q$66,MATCH([3]設定!$D46,[3]第３表!$C$10:$C$66,0),6),[3]設定!$I46))</f>
        <v>165.8</v>
      </c>
      <c r="K70" s="52">
        <f>IF($D70="","",IF([3]設定!$I46="",INDEX([3]第３表!$F$10:$Q$66,MATCH([3]設定!$D46,[3]第３表!$C$10:$C$66,0),7),[3]設定!$I46))</f>
        <v>142.1</v>
      </c>
      <c r="L70" s="55">
        <f>IF($D70="","",IF([3]設定!$I46="",INDEX([3]第３表!$F$10:$Q$66,MATCH([3]設定!$D46,[3]第３表!$C$10:$C$66,0),8),[3]設定!$I46))</f>
        <v>23.7</v>
      </c>
      <c r="M70" s="52">
        <f>IF($D70="","",IF([3]設定!$I46="",INDEX([3]第３表!$F$10:$Q$66,MATCH([3]設定!$D46,[3]第３表!$C$10:$C$66,0),9),[3]設定!$I46))</f>
        <v>19.8</v>
      </c>
      <c r="N70" s="52">
        <f>IF($D70="","",IF([3]設定!$I46="",INDEX([3]第３表!$F$10:$Q$66,MATCH([3]設定!$D46,[3]第３表!$C$10:$C$66,0),10),[3]設定!$I46))</f>
        <v>161.1</v>
      </c>
      <c r="O70" s="52">
        <f>IF($D70="","",IF([3]設定!$I46="",INDEX([3]第３表!$F$10:$Q$66,MATCH([3]設定!$D46,[3]第３表!$C$10:$C$66,0),11),[3]設定!$I46))</f>
        <v>150.4</v>
      </c>
      <c r="P70" s="55">
        <f>IF($D70="","",IF([3]設定!$I46="",INDEX([3]第３表!$F$10:$Q$66,MATCH([3]設定!$D46,[3]第３表!$C$10:$C$66,0),12),[3]設定!$I46))</f>
        <v>10.7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IF($D71="","",IF([3]設定!$I47="",INDEX([3]第３表!$F$10:$Q$66,MATCH([3]設定!$D47,[3]第３表!$C$10:$C$66,0),1),[3]設定!$I47))</f>
        <v>21.1</v>
      </c>
      <c r="F71" s="52">
        <f>IF($D71="","",IF([3]設定!$I47="",INDEX([3]第３表!$F$10:$Q$66,MATCH([3]設定!$D47,[3]第３表!$C$10:$C$66,0),2),[3]設定!$I47))</f>
        <v>171.2</v>
      </c>
      <c r="G71" s="52">
        <f>IF($D71="","",IF([3]設定!$I47="",INDEX([3]第３表!$F$10:$Q$66,MATCH([3]設定!$D47,[3]第３表!$C$10:$C$66,0),3),[3]設定!$I47))</f>
        <v>160.30000000000001</v>
      </c>
      <c r="H71" s="55">
        <f>IF($D71="","",IF([3]設定!$I47="",INDEX([3]第３表!$F$10:$Q$66,MATCH([3]設定!$D47,[3]第３表!$C$10:$C$66,0),4),[3]設定!$I47))</f>
        <v>10.9</v>
      </c>
      <c r="I71" s="52">
        <f>IF($D71="","",IF([3]設定!$I47="",INDEX([3]第３表!$F$10:$Q$66,MATCH([3]設定!$D47,[3]第３表!$C$10:$C$66,0),5),[3]設定!$I47))</f>
        <v>21.8</v>
      </c>
      <c r="J71" s="52">
        <f>IF($D71="","",IF([3]設定!$I47="",INDEX([3]第３表!$F$10:$Q$66,MATCH([3]設定!$D47,[3]第３表!$C$10:$C$66,0),6),[3]設定!$I47))</f>
        <v>183.9</v>
      </c>
      <c r="K71" s="52">
        <f>IF($D71="","",IF([3]設定!$I47="",INDEX([3]第３表!$F$10:$Q$66,MATCH([3]設定!$D47,[3]第３表!$C$10:$C$66,0),7),[3]設定!$I47))</f>
        <v>170.1</v>
      </c>
      <c r="L71" s="55">
        <f>IF($D71="","",IF([3]設定!$I47="",INDEX([3]第３表!$F$10:$Q$66,MATCH([3]設定!$D47,[3]第３表!$C$10:$C$66,0),8),[3]設定!$I47))</f>
        <v>13.8</v>
      </c>
      <c r="M71" s="52">
        <f>IF($D71="","",IF([3]設定!$I47="",INDEX([3]第３表!$F$10:$Q$66,MATCH([3]設定!$D47,[3]第３表!$C$10:$C$66,0),9),[3]設定!$I47))</f>
        <v>19.3</v>
      </c>
      <c r="N71" s="52">
        <f>IF($D71="","",IF([3]設定!$I47="",INDEX([3]第３表!$F$10:$Q$66,MATCH([3]設定!$D47,[3]第３表!$C$10:$C$66,0),10),[3]設定!$I47))</f>
        <v>133.69999999999999</v>
      </c>
      <c r="O71" s="52">
        <f>IF($D71="","",IF([3]設定!$I47="",INDEX([3]第３表!$F$10:$Q$66,MATCH([3]設定!$D47,[3]第３表!$C$10:$C$66,0),11),[3]設定!$I47))</f>
        <v>131.30000000000001</v>
      </c>
      <c r="P71" s="55">
        <f>IF($D71="","",IF([3]設定!$I47="",INDEX([3]第３表!$F$10:$Q$66,MATCH([3]設定!$D47,[3]第３表!$C$10:$C$66,0),12),[3]設定!$I47))</f>
        <v>2.4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IF($D72="","",IF([3]設定!$I48="",INDEX([3]第３表!$F$10:$Q$66,MATCH([3]設定!$D48,[3]第３表!$C$10:$C$66,0),1),[3]設定!$I48))</f>
        <v>21</v>
      </c>
      <c r="F72" s="55">
        <f>IF($D72="","",IF([3]設定!$I48="",INDEX([3]第３表!$F$10:$Q$66,MATCH([3]設定!$D48,[3]第３表!$C$10:$C$66,0),2),[3]設定!$I48))</f>
        <v>175.9</v>
      </c>
      <c r="G72" s="55">
        <f>IF($D72="","",IF([3]設定!$I48="",INDEX([3]第３表!$F$10:$Q$66,MATCH([3]設定!$D48,[3]第３表!$C$10:$C$66,0),3),[3]設定!$I48))</f>
        <v>162.30000000000001</v>
      </c>
      <c r="H72" s="55">
        <f>IF($D72="","",IF([3]設定!$I48="",INDEX([3]第３表!$F$10:$Q$66,MATCH([3]設定!$D48,[3]第３表!$C$10:$C$66,0),4),[3]設定!$I48))</f>
        <v>13.6</v>
      </c>
      <c r="I72" s="55">
        <f>IF($D72="","",IF([3]設定!$I48="",INDEX([3]第３表!$F$10:$Q$66,MATCH([3]設定!$D48,[3]第３表!$C$10:$C$66,0),5),[3]設定!$I48))</f>
        <v>21.1</v>
      </c>
      <c r="J72" s="55">
        <f>IF($D72="","",IF([3]設定!$I48="",INDEX([3]第３表!$F$10:$Q$66,MATCH([3]設定!$D48,[3]第３表!$C$10:$C$66,0),6),[3]設定!$I48))</f>
        <v>181.6</v>
      </c>
      <c r="K72" s="55">
        <f>IF($D72="","",IF([3]設定!$I48="",INDEX([3]第３表!$F$10:$Q$66,MATCH([3]設定!$D48,[3]第３表!$C$10:$C$66,0),7),[3]設定!$I48))</f>
        <v>164.4</v>
      </c>
      <c r="L72" s="55">
        <f>IF($D72="","",IF([3]設定!$I48="",INDEX([3]第３表!$F$10:$Q$66,MATCH([3]設定!$D48,[3]第３表!$C$10:$C$66,0),8),[3]設定!$I48))</f>
        <v>17.2</v>
      </c>
      <c r="M72" s="55">
        <f>IF($D72="","",IF([3]設定!$I48="",INDEX([3]第３表!$F$10:$Q$66,MATCH([3]設定!$D48,[3]第３表!$C$10:$C$66,0),9),[3]設定!$I48))</f>
        <v>20.7</v>
      </c>
      <c r="N72" s="55">
        <f>IF($D72="","",IF([3]設定!$I48="",INDEX([3]第３表!$F$10:$Q$66,MATCH([3]設定!$D48,[3]第３表!$C$10:$C$66,0),10),[3]設定!$I48))</f>
        <v>159.19999999999999</v>
      </c>
      <c r="O72" s="55">
        <f>IF($D72="","",IF([3]設定!$I48="",INDEX([3]第３表!$F$10:$Q$66,MATCH([3]設定!$D48,[3]第３表!$C$10:$C$66,0),11),[3]設定!$I48))</f>
        <v>156.1</v>
      </c>
      <c r="P72" s="55">
        <f>IF($D72="","",IF([3]設定!$I48="",INDEX([3]第３表!$F$10:$Q$66,MATCH([3]設定!$D48,[3]第３表!$C$10:$C$66,0),12),[3]設定!$I48))</f>
        <v>3.1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IF($D73="","",IF([3]設定!$I49="",INDEX([3]第３表!$F$10:$Q$66,MATCH([3]設定!$D49,[3]第３表!$C$10:$C$66,0),1),[3]設定!$I49))</f>
        <v>18.7</v>
      </c>
      <c r="F73" s="55">
        <f>IF($D73="","",IF([3]設定!$I49="",INDEX([3]第３表!$F$10:$Q$66,MATCH([3]設定!$D49,[3]第３表!$C$10:$C$66,0),2),[3]設定!$I49))</f>
        <v>155.69999999999999</v>
      </c>
      <c r="G73" s="55">
        <f>IF($D73="","",IF([3]設定!$I49="",INDEX([3]第３表!$F$10:$Q$66,MATCH([3]設定!$D49,[3]第３表!$C$10:$C$66,0),3),[3]設定!$I49))</f>
        <v>147.1</v>
      </c>
      <c r="H73" s="55">
        <f>IF($D73="","",IF([3]設定!$I49="",INDEX([3]第３表!$F$10:$Q$66,MATCH([3]設定!$D49,[3]第３表!$C$10:$C$66,0),4),[3]設定!$I49))</f>
        <v>8.6</v>
      </c>
      <c r="I73" s="55">
        <f>IF($D73="","",IF([3]設定!$I49="",INDEX([3]第３表!$F$10:$Q$66,MATCH([3]設定!$D49,[3]第３表!$C$10:$C$66,0),5),[3]設定!$I49))</f>
        <v>19.5</v>
      </c>
      <c r="J73" s="55">
        <f>IF($D73="","",IF([3]設定!$I49="",INDEX([3]第３表!$F$10:$Q$66,MATCH([3]設定!$D49,[3]第３表!$C$10:$C$66,0),6),[3]設定!$I49))</f>
        <v>162.19999999999999</v>
      </c>
      <c r="K73" s="55">
        <f>IF($D73="","",IF([3]設定!$I49="",INDEX([3]第３表!$F$10:$Q$66,MATCH([3]設定!$D49,[3]第３表!$C$10:$C$66,0),7),[3]設定!$I49))</f>
        <v>151.1</v>
      </c>
      <c r="L73" s="55">
        <f>IF($D73="","",IF([3]設定!$I49="",INDEX([3]第３表!$F$10:$Q$66,MATCH([3]設定!$D49,[3]第３表!$C$10:$C$66,0),8),[3]設定!$I49))</f>
        <v>11.1</v>
      </c>
      <c r="M73" s="55">
        <f>IF($D73="","",IF([3]設定!$I49="",INDEX([3]第３表!$F$10:$Q$66,MATCH([3]設定!$D49,[3]第３表!$C$10:$C$66,0),9),[3]設定!$I49))</f>
        <v>18</v>
      </c>
      <c r="N73" s="55">
        <f>IF($D73="","",IF([3]設定!$I49="",INDEX([3]第３表!$F$10:$Q$66,MATCH([3]設定!$D49,[3]第３表!$C$10:$C$66,0),10),[3]設定!$I49))</f>
        <v>149.69999999999999</v>
      </c>
      <c r="O73" s="55">
        <f>IF($D73="","",IF([3]設定!$I49="",INDEX([3]第３表!$F$10:$Q$66,MATCH([3]設定!$D49,[3]第３表!$C$10:$C$66,0),11),[3]設定!$I49))</f>
        <v>143.4</v>
      </c>
      <c r="P73" s="55">
        <f>IF($D73="","",IF([3]設定!$I49="",INDEX([3]第３表!$F$10:$Q$66,MATCH([3]設定!$D49,[3]第３表!$C$10:$C$66,0),12),[3]設定!$I49))</f>
        <v>6.3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IF($D74="","",IF([3]設定!$I50="",INDEX([3]第３表!$F$10:$Q$66,MATCH([3]設定!$D50,[3]第３表!$C$10:$C$66,0),1),[3]設定!$I50))</f>
        <v>17.7</v>
      </c>
      <c r="F74" s="55">
        <f>IF($D74="","",IF([3]設定!$I50="",INDEX([3]第３表!$F$10:$Q$66,MATCH([3]設定!$D50,[3]第３表!$C$10:$C$66,0),2),[3]設定!$I50))</f>
        <v>152.5</v>
      </c>
      <c r="G74" s="55">
        <f>IF($D74="","",IF([3]設定!$I50="",INDEX([3]第３表!$F$10:$Q$66,MATCH([3]設定!$D50,[3]第３表!$C$10:$C$66,0),3),[3]設定!$I50))</f>
        <v>139.30000000000001</v>
      </c>
      <c r="H74" s="55">
        <f>IF($D74="","",IF([3]設定!$I50="",INDEX([3]第３表!$F$10:$Q$66,MATCH([3]設定!$D50,[3]第３表!$C$10:$C$66,0),4),[3]設定!$I50))</f>
        <v>13.2</v>
      </c>
      <c r="I74" s="55">
        <f>IF($D74="","",IF([3]設定!$I50="",INDEX([3]第３表!$F$10:$Q$66,MATCH([3]設定!$D50,[3]第３表!$C$10:$C$66,0),5),[3]設定!$I50))</f>
        <v>17.899999999999999</v>
      </c>
      <c r="J74" s="55">
        <f>IF($D74="","",IF([3]設定!$I50="",INDEX([3]第３表!$F$10:$Q$66,MATCH([3]設定!$D50,[3]第３表!$C$10:$C$66,0),6),[3]設定!$I50))</f>
        <v>159.9</v>
      </c>
      <c r="K74" s="55">
        <f>IF($D74="","",IF([3]設定!$I50="",INDEX([3]第３表!$F$10:$Q$66,MATCH([3]設定!$D50,[3]第３表!$C$10:$C$66,0),7),[3]設定!$I50))</f>
        <v>143.19999999999999</v>
      </c>
      <c r="L74" s="55">
        <f>IF($D74="","",IF([3]設定!$I50="",INDEX([3]第３表!$F$10:$Q$66,MATCH([3]設定!$D50,[3]第３表!$C$10:$C$66,0),8),[3]設定!$I50))</f>
        <v>16.7</v>
      </c>
      <c r="M74" s="55">
        <f>IF($D74="","",IF([3]設定!$I50="",INDEX([3]第３表!$F$10:$Q$66,MATCH([3]設定!$D50,[3]第３表!$C$10:$C$66,0),9),[3]設定!$I50))</f>
        <v>17.399999999999999</v>
      </c>
      <c r="N74" s="55">
        <f>IF($D74="","",IF([3]設定!$I50="",INDEX([3]第３表!$F$10:$Q$66,MATCH([3]設定!$D50,[3]第３表!$C$10:$C$66,0),10),[3]設定!$I50))</f>
        <v>138.1</v>
      </c>
      <c r="O74" s="55">
        <f>IF($D74="","",IF([3]設定!$I50="",INDEX([3]第３表!$F$10:$Q$66,MATCH([3]設定!$D50,[3]第３表!$C$10:$C$66,0),11),[3]設定!$I50))</f>
        <v>131.80000000000001</v>
      </c>
      <c r="P74" s="55">
        <f>IF($D74="","",IF([3]設定!$I50="",INDEX([3]第３表!$F$10:$Q$66,MATCH([3]設定!$D50,[3]第３表!$C$10:$C$66,0),12),[3]設定!$I50))</f>
        <v>6.3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IF($D75="","",IF([3]設定!$I51="",INDEX([3]第３表!$F$10:$Q$66,MATCH([3]設定!$D51,[3]第３表!$C$10:$C$66,0),1),[3]設定!$I51))</f>
        <v>20.2</v>
      </c>
      <c r="F75" s="55">
        <f>IF($D75="","",IF([3]設定!$I51="",INDEX([3]第３表!$F$10:$Q$66,MATCH([3]設定!$D51,[3]第３表!$C$10:$C$66,0),2),[3]設定!$I51))</f>
        <v>166.9</v>
      </c>
      <c r="G75" s="55">
        <f>IF($D75="","",IF([3]設定!$I51="",INDEX([3]第３表!$F$10:$Q$66,MATCH([3]設定!$D51,[3]第３表!$C$10:$C$66,0),3),[3]設定!$I51))</f>
        <v>154.80000000000001</v>
      </c>
      <c r="H75" s="55">
        <f>IF($D75="","",IF([3]設定!$I51="",INDEX([3]第３表!$F$10:$Q$66,MATCH([3]設定!$D51,[3]第３表!$C$10:$C$66,0),4),[3]設定!$I51))</f>
        <v>12.1</v>
      </c>
      <c r="I75" s="55">
        <f>IF($D75="","",IF([3]設定!$I51="",INDEX([3]第３表!$F$10:$Q$66,MATCH([3]設定!$D51,[3]第３表!$C$10:$C$66,0),5),[3]設定!$I51))</f>
        <v>20.6</v>
      </c>
      <c r="J75" s="55">
        <f>IF($D75="","",IF([3]設定!$I51="",INDEX([3]第３表!$F$10:$Q$66,MATCH([3]設定!$D51,[3]第３表!$C$10:$C$66,0),6),[3]設定!$I51))</f>
        <v>174.2</v>
      </c>
      <c r="K75" s="55">
        <f>IF($D75="","",IF([3]設定!$I51="",INDEX([3]第３表!$F$10:$Q$66,MATCH([3]設定!$D51,[3]第３表!$C$10:$C$66,0),7),[3]設定!$I51))</f>
        <v>158.30000000000001</v>
      </c>
      <c r="L75" s="55">
        <f>IF($D75="","",IF([3]設定!$I51="",INDEX([3]第３表!$F$10:$Q$66,MATCH([3]設定!$D51,[3]第３表!$C$10:$C$66,0),8),[3]設定!$I51))</f>
        <v>15.9</v>
      </c>
      <c r="M75" s="55">
        <f>IF($D75="","",IF([3]設定!$I51="",INDEX([3]第３表!$F$10:$Q$66,MATCH([3]設定!$D51,[3]第３表!$C$10:$C$66,0),9),[3]設定!$I51))</f>
        <v>19.600000000000001</v>
      </c>
      <c r="N75" s="55">
        <f>IF($D75="","",IF([3]設定!$I51="",INDEX([3]第３表!$F$10:$Q$66,MATCH([3]設定!$D51,[3]第３表!$C$10:$C$66,0),10),[3]設定!$I51))</f>
        <v>151.6</v>
      </c>
      <c r="O75" s="55">
        <f>IF($D75="","",IF([3]設定!$I51="",INDEX([3]第３表!$F$10:$Q$66,MATCH([3]設定!$D51,[3]第３表!$C$10:$C$66,0),11),[3]設定!$I51))</f>
        <v>147.5</v>
      </c>
      <c r="P75" s="55">
        <f>IF($D75="","",IF([3]設定!$I51="",INDEX([3]第３表!$F$10:$Q$66,MATCH([3]設定!$D51,[3]第３表!$C$10:$C$66,0),12),[3]設定!$I51))</f>
        <v>4.0999999999999996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IF($D76="","",IF([3]設定!$I52="",INDEX([3]第３表!$F$10:$Q$66,MATCH([3]設定!$D52,[3]第３表!$C$10:$C$66,0),1),[3]設定!$I52))</f>
        <v>18</v>
      </c>
      <c r="F76" s="55">
        <f>IF($D76="","",IF([3]設定!$I52="",INDEX([3]第３表!$F$10:$Q$66,MATCH([3]設定!$D52,[3]第３表!$C$10:$C$66,0),2),[3]設定!$I52))</f>
        <v>162.6</v>
      </c>
      <c r="G76" s="55">
        <f>IF($D76="","",IF([3]設定!$I52="",INDEX([3]第３表!$F$10:$Q$66,MATCH([3]設定!$D52,[3]第３表!$C$10:$C$66,0),3),[3]設定!$I52))</f>
        <v>145.5</v>
      </c>
      <c r="H76" s="55">
        <f>IF($D76="","",IF([3]設定!$I52="",INDEX([3]第３表!$F$10:$Q$66,MATCH([3]設定!$D52,[3]第３表!$C$10:$C$66,0),4),[3]設定!$I52))</f>
        <v>17.100000000000001</v>
      </c>
      <c r="I76" s="55">
        <f>IF($D76="","",IF([3]設定!$I52="",INDEX([3]第３表!$F$10:$Q$66,MATCH([3]設定!$D52,[3]第３表!$C$10:$C$66,0),5),[3]設定!$I52))</f>
        <v>18.100000000000001</v>
      </c>
      <c r="J76" s="55">
        <f>IF($D76="","",IF([3]設定!$I52="",INDEX([3]第３表!$F$10:$Q$66,MATCH([3]設定!$D52,[3]第３表!$C$10:$C$66,0),6),[3]設定!$I52))</f>
        <v>166.2</v>
      </c>
      <c r="K76" s="55">
        <f>IF($D76="","",IF([3]設定!$I52="",INDEX([3]第３表!$F$10:$Q$66,MATCH([3]設定!$D52,[3]第３表!$C$10:$C$66,0),7),[3]設定!$I52))</f>
        <v>147.4</v>
      </c>
      <c r="L76" s="55">
        <f>IF($D76="","",IF([3]設定!$I52="",INDEX([3]第３表!$F$10:$Q$66,MATCH([3]設定!$D52,[3]第３表!$C$10:$C$66,0),8),[3]設定!$I52))</f>
        <v>18.8</v>
      </c>
      <c r="M76" s="55">
        <f>IF($D76="","",IF([3]設定!$I52="",INDEX([3]第３表!$F$10:$Q$66,MATCH([3]設定!$D52,[3]第３表!$C$10:$C$66,0),9),[3]設定!$I52))</f>
        <v>17.5</v>
      </c>
      <c r="N76" s="55">
        <f>IF($D76="","",IF([3]設定!$I52="",INDEX([3]第３表!$F$10:$Q$66,MATCH([3]設定!$D52,[3]第３表!$C$10:$C$66,0),10),[3]設定!$I52))</f>
        <v>146.6</v>
      </c>
      <c r="O76" s="55">
        <f>IF($D76="","",IF([3]設定!$I52="",INDEX([3]第３表!$F$10:$Q$66,MATCH([3]設定!$D52,[3]第３表!$C$10:$C$66,0),11),[3]設定!$I52))</f>
        <v>137.1</v>
      </c>
      <c r="P76" s="55">
        <f>IF($D76="","",IF([3]設定!$I52="",INDEX([3]第３表!$F$10:$Q$66,MATCH([3]設定!$D52,[3]第３表!$C$10:$C$66,0),12),[3]設定!$I52))</f>
        <v>9.5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IF($D77="","",IF([3]設定!$I53="",INDEX([3]第３表!$F$10:$Q$66,MATCH([3]設定!$D53,[3]第３表!$C$10:$C$66,0),1),[3]設定!$I53))</f>
        <v>18.899999999999999</v>
      </c>
      <c r="F77" s="69">
        <f>IF($D77="","",IF([3]設定!$I53="",INDEX([3]第３表!$F$10:$Q$66,MATCH([3]設定!$D53,[3]第３表!$C$10:$C$66,0),2),[3]設定!$I53))</f>
        <v>164.7</v>
      </c>
      <c r="G77" s="69">
        <f>IF($D77="","",IF([3]設定!$I53="",INDEX([3]第３表!$F$10:$Q$66,MATCH([3]設定!$D53,[3]第３表!$C$10:$C$66,0),3),[3]設定!$I53))</f>
        <v>152.5</v>
      </c>
      <c r="H77" s="69">
        <f>IF($D77="","",IF([3]設定!$I53="",INDEX([3]第３表!$F$10:$Q$66,MATCH([3]設定!$D53,[3]第３表!$C$10:$C$66,0),4),[3]設定!$I53))</f>
        <v>12.2</v>
      </c>
      <c r="I77" s="69">
        <f>IF($D77="","",IF([3]設定!$I53="",INDEX([3]第３表!$F$10:$Q$66,MATCH([3]設定!$D53,[3]第３表!$C$10:$C$66,0),5),[3]設定!$I53))</f>
        <v>19.2</v>
      </c>
      <c r="J77" s="69">
        <f>IF($D77="","",IF([3]設定!$I53="",INDEX([3]第３表!$F$10:$Q$66,MATCH([3]設定!$D53,[3]第３表!$C$10:$C$66,0),6),[3]設定!$I53))</f>
        <v>171.2</v>
      </c>
      <c r="K77" s="69">
        <f>IF($D77="","",IF([3]設定!$I53="",INDEX([3]第３表!$F$10:$Q$66,MATCH([3]設定!$D53,[3]第３表!$C$10:$C$66,0),7),[3]設定!$I53))</f>
        <v>155.1</v>
      </c>
      <c r="L77" s="69">
        <f>IF($D77="","",IF([3]設定!$I53="",INDEX([3]第３表!$F$10:$Q$66,MATCH([3]設定!$D53,[3]第３表!$C$10:$C$66,0),8),[3]設定!$I53))</f>
        <v>16.100000000000001</v>
      </c>
      <c r="M77" s="69">
        <f>IF($D77="","",IF([3]設定!$I53="",INDEX([3]第３表!$F$10:$Q$66,MATCH([3]設定!$D53,[3]第３表!$C$10:$C$66,0),9),[3]設定!$I53))</f>
        <v>18.399999999999999</v>
      </c>
      <c r="N77" s="69">
        <f>IF($D77="","",IF([3]設定!$I53="",INDEX([3]第３表!$F$10:$Q$66,MATCH([3]設定!$D53,[3]第３表!$C$10:$C$66,0),10),[3]設定!$I53))</f>
        <v>155.19999999999999</v>
      </c>
      <c r="O77" s="69">
        <f>IF($D77="","",IF([3]設定!$I53="",INDEX([3]第３表!$F$10:$Q$66,MATCH([3]設定!$D53,[3]第３表!$C$10:$C$66,0),11),[3]設定!$I53))</f>
        <v>148.69999999999999</v>
      </c>
      <c r="P77" s="69">
        <f>IF($D77="","",IF([3]設定!$I53="",INDEX([3]第３表!$F$10:$Q$66,MATCH([3]設定!$D53,[3]第３表!$C$10:$C$66,0),12),[3]設定!$I53))</f>
        <v>6.5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IF($D78="","",IF([3]設定!$I54="",INDEX([3]第３表!$F$10:$Q$66,MATCH([3]設定!$D54,[3]第３表!$C$10:$C$66,0),1),[3]設定!$I54))</f>
        <v>17.3</v>
      </c>
      <c r="F78" s="73">
        <f>IF($D78="","",IF([3]設定!$I54="",INDEX([3]第３表!$F$10:$Q$66,MATCH([3]設定!$D54,[3]第３表!$C$10:$C$66,0),2),[3]設定!$I54))</f>
        <v>144.1</v>
      </c>
      <c r="G78" s="73">
        <f>IF($D78="","",IF([3]設定!$I54="",INDEX([3]第３表!$F$10:$Q$66,MATCH([3]設定!$D54,[3]第３表!$C$10:$C$66,0),3),[3]設定!$I54))</f>
        <v>136.6</v>
      </c>
      <c r="H78" s="73">
        <f>IF($D78="","",IF([3]設定!$I54="",INDEX([3]第３表!$F$10:$Q$66,MATCH([3]設定!$D54,[3]第３表!$C$10:$C$66,0),4),[3]設定!$I54))</f>
        <v>7.5</v>
      </c>
      <c r="I78" s="73">
        <f>IF($D78="","",IF([3]設定!$I54="",INDEX([3]第３表!$F$10:$Q$66,MATCH([3]設定!$D54,[3]第３表!$C$10:$C$66,0),5),[3]設定!$I54))</f>
        <v>18</v>
      </c>
      <c r="J78" s="73">
        <f>IF($D78="","",IF([3]設定!$I54="",INDEX([3]第３表!$F$10:$Q$66,MATCH([3]設定!$D54,[3]第３表!$C$10:$C$66,0),6),[3]設定!$I54))</f>
        <v>162.4</v>
      </c>
      <c r="K78" s="73">
        <f>IF($D78="","",IF([3]設定!$I54="",INDEX([3]第３表!$F$10:$Q$66,MATCH([3]設定!$D54,[3]第３表!$C$10:$C$66,0),7),[3]設定!$I54))</f>
        <v>150.30000000000001</v>
      </c>
      <c r="L78" s="73">
        <f>IF($D78="","",IF([3]設定!$I54="",INDEX([3]第３表!$F$10:$Q$66,MATCH([3]設定!$D54,[3]第３表!$C$10:$C$66,0),8),[3]設定!$I54))</f>
        <v>12.1</v>
      </c>
      <c r="M78" s="73">
        <f>IF($D78="","",IF([3]設定!$I54="",INDEX([3]第３表!$F$10:$Q$66,MATCH([3]設定!$D54,[3]第３表!$C$10:$C$66,0),9),[3]設定!$I54))</f>
        <v>16.899999999999999</v>
      </c>
      <c r="N78" s="73">
        <f>IF($D78="","",IF([3]設定!$I54="",INDEX([3]第３表!$F$10:$Q$66,MATCH([3]設定!$D54,[3]第３表!$C$10:$C$66,0),10),[3]設定!$I54))</f>
        <v>130.5</v>
      </c>
      <c r="O78" s="73">
        <f>IF($D78="","",IF([3]設定!$I54="",INDEX([3]第３表!$F$10:$Q$66,MATCH([3]設定!$D54,[3]第３表!$C$10:$C$66,0),11),[3]設定!$I54))</f>
        <v>126.4</v>
      </c>
      <c r="P78" s="73">
        <f>IF($D78="","",IF([3]設定!$I54="",INDEX([3]第３表!$F$10:$Q$66,MATCH([3]設定!$D54,[3]第３表!$C$10:$C$66,0),12),[3]設定!$I54))</f>
        <v>4.0999999999999996</v>
      </c>
    </row>
  </sheetData>
  <phoneticPr fontId="2"/>
  <printOptions horizontalCentered="1"/>
  <pageMargins left="0.59055118110236227" right="0.59055118110236227" top="0.35433070866141736" bottom="0.59055118110236227" header="0" footer="0.59055118110236227"/>
  <pageSetup paperSize="9" scale="59" orientation="portrait" blackAndWhite="1" cellComments="atEnd" horizontalDpi="300" verticalDpi="300" r:id="rId1"/>
  <headerFooter scaleWithDoc="0" alignWithMargins="0">
    <oddFooter>&amp;C- 17 -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737F9-BA62-4235-B8CC-420E904D8244}">
  <sheetPr codeName="Sheet3"/>
  <dimension ref="A1:R78"/>
  <sheetViews>
    <sheetView showGridLines="0" view="pageBreakPreview" topLeftCell="A58" zoomScale="80" zoomScaleNormal="80" zoomScaleSheetLayoutView="80" workbookViewId="0">
      <selection activeCell="H83" sqref="H83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3.29687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（"&amp;[5]設定!D8&amp;DBCS([5]設定!E8)&amp;"年"&amp;DBCS([5]設定!F8)&amp;"月）"</f>
        <v>　　    （令和５年３月）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+[6]第５表!B9</f>
        <v>TL</v>
      </c>
      <c r="C9" s="46"/>
      <c r="D9" s="47" t="str">
        <f>+[6]第５表!D9</f>
        <v>調査産業計</v>
      </c>
      <c r="E9" s="48">
        <f>IF($D9="","",IF([5]設定!$H23="",INDEX([5]第３表!$F$80:$Q$136,MATCH([5]設定!$D23,[5]第３表!$C$80:$C$136,0),1),[5]設定!$H23))</f>
        <v>18.7</v>
      </c>
      <c r="F9" s="48">
        <f>IF($D9="","",IF([5]設定!$H23="",INDEX([5]第３表!$F$80:$Q$136,MATCH([5]設定!$D23,[5]第３表!$C$80:$C$136,0),2),[5]設定!$H23))</f>
        <v>141.1</v>
      </c>
      <c r="G9" s="48">
        <f>IF($D9="","",IF([5]設定!$H23="",INDEX([5]第３表!$F$80:$Q$136,MATCH([5]設定!$D23,[5]第３表!$C$80:$C$136,0),3),[5]設定!$H23))</f>
        <v>131.9</v>
      </c>
      <c r="H9" s="48">
        <f>IF($D9="","",IF([5]設定!$H23="",INDEX([5]第３表!$F$80:$Q$136,MATCH([5]設定!$D23,[5]第３表!$C$80:$C$136,0),4),[5]設定!$H23))</f>
        <v>9.1999999999999993</v>
      </c>
      <c r="I9" s="48">
        <f>IF($D9="","",IF([5]設定!$H23="",INDEX([5]第３表!$F$80:$Q$136,MATCH([5]設定!$D23,[5]第３表!$C$80:$C$136,0),5),[5]設定!$H23))</f>
        <v>19.3</v>
      </c>
      <c r="J9" s="48">
        <f>IF($D9="","",IF([5]設定!$H23="",INDEX([5]第３表!$F$80:$Q$136,MATCH([5]設定!$D23,[5]第３表!$C$80:$C$136,0),6),[5]設定!$H23))</f>
        <v>155.9</v>
      </c>
      <c r="K9" s="48">
        <f>IF($D9="","",IF([5]設定!$H23="",INDEX([5]第３表!$F$80:$Q$136,MATCH([5]設定!$D23,[5]第３表!$C$80:$C$136,0),7),[5]設定!$H23))</f>
        <v>142.1</v>
      </c>
      <c r="L9" s="48">
        <f>IF($D9="","",IF([5]設定!$H23="",INDEX([5]第３表!$F$80:$Q$136,MATCH([5]設定!$D23,[5]第３表!$C$80:$C$136,0),8),[5]設定!$H23))</f>
        <v>13.8</v>
      </c>
      <c r="M9" s="48">
        <f>IF($D9="","",IF([5]設定!$H23="",INDEX([5]第３表!$F$80:$Q$136,MATCH([5]設定!$D23,[5]第３表!$C$80:$C$136,0),9),[5]設定!$H23))</f>
        <v>18</v>
      </c>
      <c r="N9" s="48">
        <f>IF($D9="","",IF([5]設定!$H23="",INDEX([5]第３表!$F$80:$Q$136,MATCH([5]設定!$D23,[5]第３表!$C$80:$C$136,0),10),[5]設定!$H23))</f>
        <v>127.1</v>
      </c>
      <c r="O9" s="48">
        <f>IF($D9="","",IF([5]設定!$H23="",INDEX([5]第３表!$F$80:$Q$136,MATCH([5]設定!$D23,[5]第３表!$C$80:$C$136,0),11),[5]設定!$H23))</f>
        <v>122.3</v>
      </c>
      <c r="P9" s="48">
        <f>IF($D9="","",IF([5]設定!$H23="",INDEX([5]第３表!$F$80:$Q$136,MATCH([5]設定!$D23,[5]第３表!$C$80:$C$136,0),12),[5]設定!$H23))</f>
        <v>4.8</v>
      </c>
    </row>
    <row r="10" spans="1:18" s="8" customFormat="1" ht="17.25" customHeight="1" x14ac:dyDescent="0.45">
      <c r="B10" s="49" t="str">
        <f>+[6]第５表!B10</f>
        <v>D</v>
      </c>
      <c r="C10" s="50"/>
      <c r="D10" s="51" t="str">
        <f>+[6]第５表!D10</f>
        <v>建設業</v>
      </c>
      <c r="E10" s="52">
        <f>IF($D10="","",IF([5]設定!$H24="",INDEX([5]第３表!$F$80:$Q$136,MATCH([5]設定!$D24,[5]第３表!$C$80:$C$136,0),1),[5]設定!$H24))</f>
        <v>20.7</v>
      </c>
      <c r="F10" s="52">
        <f>IF($D10="","",IF([5]設定!$H24="",INDEX([5]第３表!$F$80:$Q$136,MATCH([5]設定!$D24,[5]第３表!$C$80:$C$136,0),2),[5]設定!$H24))</f>
        <v>163.1</v>
      </c>
      <c r="G10" s="52">
        <f>IF($D10="","",IF([5]設定!$H24="",INDEX([5]第３表!$F$80:$Q$136,MATCH([5]設定!$D24,[5]第３表!$C$80:$C$136,0),3),[5]設定!$H24))</f>
        <v>152.6</v>
      </c>
      <c r="H10" s="53">
        <f>IF($D10="","",IF([5]設定!$H24="",INDEX([5]第３表!$F$80:$Q$136,MATCH([5]設定!$D24,[5]第３表!$C$80:$C$136,0),4),[5]設定!$H24))</f>
        <v>10.5</v>
      </c>
      <c r="I10" s="54">
        <f>IF($D10="","",IF([5]設定!$H24="",INDEX([5]第３表!$F$80:$Q$136,MATCH([5]設定!$D24,[5]第３表!$C$80:$C$136,0),5),[5]設定!$H24))</f>
        <v>20.9</v>
      </c>
      <c r="J10" s="54">
        <f>IF($D10="","",IF([5]設定!$H24="",INDEX([5]第３表!$F$80:$Q$136,MATCH([5]設定!$D24,[5]第３表!$C$80:$C$136,0),6),[5]設定!$H24))</f>
        <v>167.6</v>
      </c>
      <c r="K10" s="54">
        <f>IF($D10="","",IF([5]設定!$H24="",INDEX([5]第３表!$F$80:$Q$136,MATCH([5]設定!$D24,[5]第３表!$C$80:$C$136,0),7),[5]設定!$H24))</f>
        <v>155.69999999999999</v>
      </c>
      <c r="L10" s="55">
        <f>IF($D10="","",IF([5]設定!$H24="",INDEX([5]第３表!$F$80:$Q$136,MATCH([5]設定!$D24,[5]第３表!$C$80:$C$136,0),8),[5]設定!$H24))</f>
        <v>11.9</v>
      </c>
      <c r="M10" s="56">
        <f>IF($D10="","",IF([5]設定!$H24="",INDEX([5]第３表!$F$80:$Q$136,MATCH([5]設定!$D24,[5]第３表!$C$80:$C$136,0),9),[5]設定!$H24))</f>
        <v>19.8</v>
      </c>
      <c r="N10" s="56">
        <f>IF($D10="","",IF([5]設定!$H24="",INDEX([5]第３表!$F$80:$Q$136,MATCH([5]設定!$D24,[5]第３表!$C$80:$C$136,0),10),[5]設定!$H24))</f>
        <v>139.1</v>
      </c>
      <c r="O10" s="56">
        <f>IF($D10="","",IF([5]設定!$H24="",INDEX([5]第３表!$F$80:$Q$136,MATCH([5]設定!$D24,[5]第３表!$C$80:$C$136,0),11),[5]設定!$H24))</f>
        <v>136.19999999999999</v>
      </c>
      <c r="P10" s="57">
        <f>IF($D10="","",IF([5]設定!$H24="",INDEX([5]第３表!$F$80:$Q$136,MATCH([5]設定!$D24,[5]第３表!$C$80:$C$136,0),12),[5]設定!$H24))</f>
        <v>2.9</v>
      </c>
    </row>
    <row r="11" spans="1:18" s="8" customFormat="1" ht="17.25" customHeight="1" x14ac:dyDescent="0.45">
      <c r="B11" s="49" t="str">
        <f>+[6]第５表!B11</f>
        <v>E</v>
      </c>
      <c r="C11" s="50"/>
      <c r="D11" s="51" t="str">
        <f>+[6]第５表!D11</f>
        <v>製造業</v>
      </c>
      <c r="E11" s="52">
        <f>IF($D11="","",IF([5]設定!$H25="",INDEX([5]第３表!$F$80:$Q$136,MATCH([5]設定!$D25,[5]第３表!$C$80:$C$136,0),1),[5]設定!$H25))</f>
        <v>19.5</v>
      </c>
      <c r="F11" s="52">
        <f>IF($D11="","",IF([5]設定!$H25="",INDEX([5]第３表!$F$80:$Q$136,MATCH([5]設定!$D25,[5]第３表!$C$80:$C$136,0),2),[5]設定!$H25))</f>
        <v>157.9</v>
      </c>
      <c r="G11" s="52">
        <f>IF($D11="","",IF([5]設定!$H25="",INDEX([5]第３表!$F$80:$Q$136,MATCH([5]設定!$D25,[5]第３表!$C$80:$C$136,0),3),[5]設定!$H25))</f>
        <v>145.19999999999999</v>
      </c>
      <c r="H11" s="53">
        <f>IF($D11="","",IF([5]設定!$H25="",INDEX([5]第３表!$F$80:$Q$136,MATCH([5]設定!$D25,[5]第３表!$C$80:$C$136,0),4),[5]設定!$H25))</f>
        <v>12.7</v>
      </c>
      <c r="I11" s="54">
        <f>IF($D11="","",IF([5]設定!$H25="",INDEX([5]第３表!$F$80:$Q$136,MATCH([5]設定!$D25,[5]第３表!$C$80:$C$136,0),5),[5]設定!$H25))</f>
        <v>19.899999999999999</v>
      </c>
      <c r="J11" s="54">
        <f>IF($D11="","",IF([5]設定!$H25="",INDEX([5]第３表!$F$80:$Q$136,MATCH([5]設定!$D25,[5]第３表!$C$80:$C$136,0),6),[5]設定!$H25))</f>
        <v>168.4</v>
      </c>
      <c r="K11" s="54">
        <f>IF($D11="","",IF([5]設定!$H25="",INDEX([5]第３表!$F$80:$Q$136,MATCH([5]設定!$D25,[5]第３表!$C$80:$C$136,0),7),[5]設定!$H25))</f>
        <v>151.30000000000001</v>
      </c>
      <c r="L11" s="55">
        <f>IF($D11="","",IF([5]設定!$H25="",INDEX([5]第３表!$F$80:$Q$136,MATCH([5]設定!$D25,[5]第３表!$C$80:$C$136,0),8),[5]設定!$H25))</f>
        <v>17.100000000000001</v>
      </c>
      <c r="M11" s="56">
        <f>IF($D11="","",IF([5]設定!$H25="",INDEX([5]第３表!$F$80:$Q$136,MATCH([5]設定!$D25,[5]第３表!$C$80:$C$136,0),9),[5]設定!$H25))</f>
        <v>19</v>
      </c>
      <c r="N11" s="56">
        <f>IF($D11="","",IF([5]設定!$H25="",INDEX([5]第３表!$F$80:$Q$136,MATCH([5]設定!$D25,[5]第３表!$C$80:$C$136,0),10),[5]設定!$H25))</f>
        <v>143.30000000000001</v>
      </c>
      <c r="O11" s="56">
        <f>IF($D11="","",IF([5]設定!$H25="",INDEX([5]第３表!$F$80:$Q$136,MATCH([5]設定!$D25,[5]第３表!$C$80:$C$136,0),11),[5]設定!$H25))</f>
        <v>136.69999999999999</v>
      </c>
      <c r="P11" s="57">
        <f>IF($D11="","",IF([5]設定!$H25="",INDEX([5]第３表!$F$80:$Q$136,MATCH([5]設定!$D25,[5]第３表!$C$80:$C$136,0),12),[5]設定!$H25))</f>
        <v>6.6</v>
      </c>
    </row>
    <row r="12" spans="1:18" s="8" customFormat="1" ht="17.25" customHeight="1" x14ac:dyDescent="0.45">
      <c r="B12" s="49" t="str">
        <f>+[6]第５表!B12</f>
        <v>F</v>
      </c>
      <c r="C12" s="50"/>
      <c r="D12" s="58" t="str">
        <f>+[6]第５表!D12</f>
        <v>電気・ガス・熱供給・水道業</v>
      </c>
      <c r="E12" s="52">
        <f>IF($D12="","",IF([5]設定!$H26="",INDEX([5]第３表!$F$80:$Q$136,MATCH([5]設定!$D26,[5]第３表!$C$80:$C$136,0),1),[5]設定!$H26))</f>
        <v>19.899999999999999</v>
      </c>
      <c r="F12" s="52">
        <f>IF($D12="","",IF([5]設定!$H26="",INDEX([5]第３表!$F$80:$Q$136,MATCH([5]設定!$D26,[5]第３表!$C$80:$C$136,0),2),[5]設定!$H26))</f>
        <v>164.1</v>
      </c>
      <c r="G12" s="52">
        <f>IF($D12="","",IF([5]設定!$H26="",INDEX([5]第３表!$F$80:$Q$136,MATCH([5]設定!$D26,[5]第３表!$C$80:$C$136,0),3),[5]設定!$H26))</f>
        <v>149</v>
      </c>
      <c r="H12" s="53">
        <f>IF($D12="","",IF([5]設定!$H26="",INDEX([5]第３表!$F$80:$Q$136,MATCH([5]設定!$D26,[5]第３表!$C$80:$C$136,0),4),[5]設定!$H26))</f>
        <v>15.1</v>
      </c>
      <c r="I12" s="54">
        <f>IF($D12="","",IF([5]設定!$H26="",INDEX([5]第３表!$F$80:$Q$136,MATCH([5]設定!$D26,[5]第３表!$C$80:$C$136,0),5),[5]設定!$H26))</f>
        <v>19.8</v>
      </c>
      <c r="J12" s="54">
        <f>IF($D12="","",IF([5]設定!$H26="",INDEX([5]第３表!$F$80:$Q$136,MATCH([5]設定!$D26,[5]第３表!$C$80:$C$136,0),6),[5]設定!$H26))</f>
        <v>165.1</v>
      </c>
      <c r="K12" s="54">
        <f>IF($D12="","",IF([5]設定!$H26="",INDEX([5]第３表!$F$80:$Q$136,MATCH([5]設定!$D26,[5]第３表!$C$80:$C$136,0),7),[5]設定!$H26))</f>
        <v>149.4</v>
      </c>
      <c r="L12" s="55">
        <f>IF($D12="","",IF([5]設定!$H26="",INDEX([5]第３表!$F$80:$Q$136,MATCH([5]設定!$D26,[5]第３表!$C$80:$C$136,0),8),[5]設定!$H26))</f>
        <v>15.7</v>
      </c>
      <c r="M12" s="56">
        <f>IF($D12="","",IF([5]設定!$H26="",INDEX([5]第３表!$F$80:$Q$136,MATCH([5]設定!$D26,[5]第３表!$C$80:$C$136,0),9),[5]設定!$H26))</f>
        <v>20.8</v>
      </c>
      <c r="N12" s="56">
        <f>IF($D12="","",IF([5]設定!$H26="",INDEX([5]第３表!$F$80:$Q$136,MATCH([5]設定!$D26,[5]第３表!$C$80:$C$136,0),10),[5]設定!$H26))</f>
        <v>157.19999999999999</v>
      </c>
      <c r="O12" s="56">
        <f>IF($D12="","",IF([5]設定!$H26="",INDEX([5]第３表!$F$80:$Q$136,MATCH([5]設定!$D26,[5]第３表!$C$80:$C$136,0),11),[5]設定!$H26))</f>
        <v>146.30000000000001</v>
      </c>
      <c r="P12" s="57">
        <f>IF($D12="","",IF([5]設定!$H26="",INDEX([5]第３表!$F$80:$Q$136,MATCH([5]設定!$D26,[5]第３表!$C$80:$C$136,0),12),[5]設定!$H26))</f>
        <v>10.9</v>
      </c>
    </row>
    <row r="13" spans="1:18" s="8" customFormat="1" ht="17.25" customHeight="1" x14ac:dyDescent="0.45">
      <c r="B13" s="49" t="str">
        <f>+[6]第５表!B13</f>
        <v>G</v>
      </c>
      <c r="C13" s="50"/>
      <c r="D13" s="51" t="str">
        <f>+[6]第５表!D13</f>
        <v>情報通信業</v>
      </c>
      <c r="E13" s="52">
        <f>IF($D13="","",IF([5]設定!$H27="",INDEX([5]第３表!$F$80:$Q$136,MATCH([5]設定!$D27,[5]第３表!$C$80:$C$136,0),1),[5]設定!$H27))</f>
        <v>19.600000000000001</v>
      </c>
      <c r="F13" s="52">
        <f>IF($D13="","",IF([5]設定!$H27="",INDEX([5]第３表!$F$80:$Q$136,MATCH([5]設定!$D27,[5]第３表!$C$80:$C$136,0),2),[5]設定!$H27))</f>
        <v>161.30000000000001</v>
      </c>
      <c r="G13" s="52">
        <f>IF($D13="","",IF([5]設定!$H27="",INDEX([5]第３表!$F$80:$Q$136,MATCH([5]設定!$D27,[5]第３表!$C$80:$C$136,0),3),[5]設定!$H27))</f>
        <v>148.6</v>
      </c>
      <c r="H13" s="53">
        <f>IF($D13="","",IF([5]設定!$H27="",INDEX([5]第３表!$F$80:$Q$136,MATCH([5]設定!$D27,[5]第３表!$C$80:$C$136,0),4),[5]設定!$H27))</f>
        <v>12.7</v>
      </c>
      <c r="I13" s="54">
        <f>IF($D13="","",IF([5]設定!$H27="",INDEX([5]第３表!$F$80:$Q$136,MATCH([5]設定!$D27,[5]第３表!$C$80:$C$136,0),5),[5]設定!$H27))</f>
        <v>19.8</v>
      </c>
      <c r="J13" s="54">
        <f>IF($D13="","",IF([5]設定!$H27="",INDEX([5]第３表!$F$80:$Q$136,MATCH([5]設定!$D27,[5]第３表!$C$80:$C$136,0),6),[5]設定!$H27))</f>
        <v>164.5</v>
      </c>
      <c r="K13" s="54">
        <f>IF($D13="","",IF([5]設定!$H27="",INDEX([5]第３表!$F$80:$Q$136,MATCH([5]設定!$D27,[5]第３表!$C$80:$C$136,0),7),[5]設定!$H27))</f>
        <v>150.69999999999999</v>
      </c>
      <c r="L13" s="55">
        <f>IF($D13="","",IF([5]設定!$H27="",INDEX([5]第３表!$F$80:$Q$136,MATCH([5]設定!$D27,[5]第３表!$C$80:$C$136,0),8),[5]設定!$H27))</f>
        <v>13.8</v>
      </c>
      <c r="M13" s="56">
        <f>IF($D13="","",IF([5]設定!$H27="",INDEX([5]第３表!$F$80:$Q$136,MATCH([5]設定!$D27,[5]第３表!$C$80:$C$136,0),9),[5]設定!$H27))</f>
        <v>19.2</v>
      </c>
      <c r="N13" s="56">
        <f>IF($D13="","",IF([5]設定!$H27="",INDEX([5]第３表!$F$80:$Q$136,MATCH([5]設定!$D27,[5]第３表!$C$80:$C$136,0),10),[5]設定!$H27))</f>
        <v>154.6</v>
      </c>
      <c r="O13" s="56">
        <f>IF($D13="","",IF([5]設定!$H27="",INDEX([5]第３表!$F$80:$Q$136,MATCH([5]設定!$D27,[5]第３表!$C$80:$C$136,0),11),[5]設定!$H27))</f>
        <v>144.19999999999999</v>
      </c>
      <c r="P13" s="57">
        <f>IF($D13="","",IF([5]設定!$H27="",INDEX([5]第３表!$F$80:$Q$136,MATCH([5]設定!$D27,[5]第３表!$C$80:$C$136,0),12),[5]設定!$H27))</f>
        <v>10.4</v>
      </c>
    </row>
    <row r="14" spans="1:18" s="8" customFormat="1" ht="17.25" customHeight="1" x14ac:dyDescent="0.45">
      <c r="B14" s="49" t="str">
        <f>+[6]第５表!B14</f>
        <v>H</v>
      </c>
      <c r="C14" s="50"/>
      <c r="D14" s="51" t="str">
        <f>+[6]第５表!D14</f>
        <v>運輸業，郵便業</v>
      </c>
      <c r="E14" s="52">
        <f>IF($D14="","",IF([5]設定!$H28="",INDEX([5]第３表!$F$80:$Q$136,MATCH([5]設定!$D28,[5]第３表!$C$80:$C$136,0),1),[5]設定!$H28))</f>
        <v>20.2</v>
      </c>
      <c r="F14" s="52">
        <f>IF($D14="","",IF([5]設定!$H28="",INDEX([5]第３表!$F$80:$Q$136,MATCH([5]設定!$D28,[5]第３表!$C$80:$C$136,0),2),[5]設定!$H28))</f>
        <v>176.1</v>
      </c>
      <c r="G14" s="52">
        <f>IF($D14="","",IF([5]設定!$H28="",INDEX([5]第３表!$F$80:$Q$136,MATCH([5]設定!$D28,[5]第３表!$C$80:$C$136,0),3),[5]設定!$H28))</f>
        <v>150</v>
      </c>
      <c r="H14" s="53">
        <f>IF($D14="","",IF([5]設定!$H28="",INDEX([5]第３表!$F$80:$Q$136,MATCH([5]設定!$D28,[5]第３表!$C$80:$C$136,0),4),[5]設定!$H28))</f>
        <v>26.1</v>
      </c>
      <c r="I14" s="54">
        <f>IF($D14="","",IF([5]設定!$H28="",INDEX([5]第３表!$F$80:$Q$136,MATCH([5]設定!$D28,[5]第３表!$C$80:$C$136,0),5),[5]設定!$H28))</f>
        <v>20.5</v>
      </c>
      <c r="J14" s="54">
        <f>IF($D14="","",IF([5]設定!$H28="",INDEX([5]第３表!$F$80:$Q$136,MATCH([5]設定!$D28,[5]第３表!$C$80:$C$136,0),6),[5]設定!$H28))</f>
        <v>182.8</v>
      </c>
      <c r="K14" s="54">
        <f>IF($D14="","",IF([5]設定!$H28="",INDEX([5]第３表!$F$80:$Q$136,MATCH([5]設定!$D28,[5]第３表!$C$80:$C$136,0),7),[5]設定!$H28))</f>
        <v>153.1</v>
      </c>
      <c r="L14" s="55">
        <f>IF($D14="","",IF([5]設定!$H28="",INDEX([5]第３表!$F$80:$Q$136,MATCH([5]設定!$D28,[5]第３表!$C$80:$C$136,0),8),[5]設定!$H28))</f>
        <v>29.7</v>
      </c>
      <c r="M14" s="56">
        <f>IF($D14="","",IF([5]設定!$H28="",INDEX([5]第３表!$F$80:$Q$136,MATCH([5]設定!$D28,[5]第３表!$C$80:$C$136,0),9),[5]設定!$H28))</f>
        <v>18.600000000000001</v>
      </c>
      <c r="N14" s="56">
        <f>IF($D14="","",IF([5]設定!$H28="",INDEX([5]第３表!$F$80:$Q$136,MATCH([5]設定!$D28,[5]第３表!$C$80:$C$136,0),10),[5]設定!$H28))</f>
        <v>141.80000000000001</v>
      </c>
      <c r="O14" s="56">
        <f>IF($D14="","",IF([5]設定!$H28="",INDEX([5]第３表!$F$80:$Q$136,MATCH([5]設定!$D28,[5]第３表!$C$80:$C$136,0),11),[5]設定!$H28))</f>
        <v>134.1</v>
      </c>
      <c r="P14" s="57">
        <f>IF($D14="","",IF([5]設定!$H28="",INDEX([5]第３表!$F$80:$Q$136,MATCH([5]設定!$D28,[5]第３表!$C$80:$C$136,0),12),[5]設定!$H28))</f>
        <v>7.7</v>
      </c>
    </row>
    <row r="15" spans="1:18" s="8" customFormat="1" ht="17.25" customHeight="1" x14ac:dyDescent="0.45">
      <c r="B15" s="49" t="str">
        <f>+[6]第５表!B15</f>
        <v>I</v>
      </c>
      <c r="C15" s="50"/>
      <c r="D15" s="51" t="str">
        <f>+[6]第５表!D15</f>
        <v>卸売業，小売業</v>
      </c>
      <c r="E15" s="52">
        <f>IF($D15="","",IF([5]設定!$H29="",INDEX([5]第３表!$F$80:$Q$136,MATCH([5]設定!$D29,[5]第３表!$C$80:$C$136,0),1),[5]設定!$H29))</f>
        <v>17.7</v>
      </c>
      <c r="F15" s="52">
        <f>IF($D15="","",IF([5]設定!$H29="",INDEX([5]第３表!$F$80:$Q$136,MATCH([5]設定!$D29,[5]第３表!$C$80:$C$136,0),2),[5]設定!$H29))</f>
        <v>131.80000000000001</v>
      </c>
      <c r="G15" s="52">
        <f>IF($D15="","",IF([5]設定!$H29="",INDEX([5]第３表!$F$80:$Q$136,MATCH([5]設定!$D29,[5]第３表!$C$80:$C$136,0),3),[5]設定!$H29))</f>
        <v>124.6</v>
      </c>
      <c r="H15" s="53">
        <f>IF($D15="","",IF([5]設定!$H29="",INDEX([5]第３表!$F$80:$Q$136,MATCH([5]設定!$D29,[5]第３表!$C$80:$C$136,0),4),[5]設定!$H29))</f>
        <v>7.2</v>
      </c>
      <c r="I15" s="54">
        <f>IF($D15="","",IF([5]設定!$H29="",INDEX([5]第３表!$F$80:$Q$136,MATCH([5]設定!$D29,[5]第３表!$C$80:$C$136,0),5),[5]設定!$H29))</f>
        <v>18.3</v>
      </c>
      <c r="J15" s="54">
        <f>IF($D15="","",IF([5]設定!$H29="",INDEX([5]第３表!$F$80:$Q$136,MATCH([5]設定!$D29,[5]第３表!$C$80:$C$136,0),6),[5]設定!$H29))</f>
        <v>147.69999999999999</v>
      </c>
      <c r="K15" s="54">
        <f>IF($D15="","",IF([5]設定!$H29="",INDEX([5]第３表!$F$80:$Q$136,MATCH([5]設定!$D29,[5]第３表!$C$80:$C$136,0),7),[5]設定!$H29))</f>
        <v>137.19999999999999</v>
      </c>
      <c r="L15" s="55">
        <f>IF($D15="","",IF([5]設定!$H29="",INDEX([5]第３表!$F$80:$Q$136,MATCH([5]設定!$D29,[5]第３表!$C$80:$C$136,0),8),[5]設定!$H29))</f>
        <v>10.5</v>
      </c>
      <c r="M15" s="56">
        <f>IF($D15="","",IF([5]設定!$H29="",INDEX([5]第３表!$F$80:$Q$136,MATCH([5]設定!$D29,[5]第３表!$C$80:$C$136,0),9),[5]設定!$H29))</f>
        <v>17.100000000000001</v>
      </c>
      <c r="N15" s="56">
        <f>IF($D15="","",IF([5]設定!$H29="",INDEX([5]第３表!$F$80:$Q$136,MATCH([5]設定!$D29,[5]第３表!$C$80:$C$136,0),10),[5]設定!$H29))</f>
        <v>114</v>
      </c>
      <c r="O15" s="56">
        <f>IF($D15="","",IF([5]設定!$H29="",INDEX([5]第３表!$F$80:$Q$136,MATCH([5]設定!$D29,[5]第３表!$C$80:$C$136,0),11),[5]設定!$H29))</f>
        <v>110.5</v>
      </c>
      <c r="P15" s="57">
        <f>IF($D15="","",IF([5]設定!$H29="",INDEX([5]第３表!$F$80:$Q$136,MATCH([5]設定!$D29,[5]第３表!$C$80:$C$136,0),12),[5]設定!$H29))</f>
        <v>3.5</v>
      </c>
    </row>
    <row r="16" spans="1:18" s="8" customFormat="1" ht="17.25" customHeight="1" x14ac:dyDescent="0.45">
      <c r="B16" s="49" t="str">
        <f>+[6]第５表!B16</f>
        <v>J</v>
      </c>
      <c r="C16" s="50"/>
      <c r="D16" s="51" t="str">
        <f>+[6]第５表!D16</f>
        <v>金融業，保険業</v>
      </c>
      <c r="E16" s="52">
        <f>IF($D16="","",IF([5]設定!$H30="",INDEX([5]第３表!$F$80:$Q$136,MATCH([5]設定!$D30,[5]第３表!$C$80:$C$136,0),1),[5]設定!$H30))</f>
        <v>20</v>
      </c>
      <c r="F16" s="52">
        <f>IF($D16="","",IF([5]設定!$H30="",INDEX([5]第３表!$F$80:$Q$136,MATCH([5]設定!$D30,[5]第３表!$C$80:$C$136,0),2),[5]設定!$H30))</f>
        <v>149.4</v>
      </c>
      <c r="G16" s="52">
        <f>IF($D16="","",IF([5]設定!$H30="",INDEX([5]第３表!$F$80:$Q$136,MATCH([5]設定!$D30,[5]第３表!$C$80:$C$136,0),3),[5]設定!$H30))</f>
        <v>143.69999999999999</v>
      </c>
      <c r="H16" s="53">
        <f>IF($D16="","",IF([5]設定!$H30="",INDEX([5]第３表!$F$80:$Q$136,MATCH([5]設定!$D30,[5]第３表!$C$80:$C$136,0),4),[5]設定!$H30))</f>
        <v>5.7</v>
      </c>
      <c r="I16" s="54">
        <f>IF($D16="","",IF([5]設定!$H30="",INDEX([5]第３表!$F$80:$Q$136,MATCH([5]設定!$D30,[5]第３表!$C$80:$C$136,0),5),[5]設定!$H30))</f>
        <v>20.8</v>
      </c>
      <c r="J16" s="54">
        <f>IF($D16="","",IF([5]設定!$H30="",INDEX([5]第３表!$F$80:$Q$136,MATCH([5]設定!$D30,[5]第３表!$C$80:$C$136,0),6),[5]設定!$H30))</f>
        <v>163.30000000000001</v>
      </c>
      <c r="K16" s="54">
        <f>IF($D16="","",IF([5]設定!$H30="",INDEX([5]第３表!$F$80:$Q$136,MATCH([5]設定!$D30,[5]第３表!$C$80:$C$136,0),7),[5]設定!$H30))</f>
        <v>154.69999999999999</v>
      </c>
      <c r="L16" s="55">
        <f>IF($D16="","",IF([5]設定!$H30="",INDEX([5]第３表!$F$80:$Q$136,MATCH([5]設定!$D30,[5]第３表!$C$80:$C$136,0),8),[5]設定!$H30))</f>
        <v>8.6</v>
      </c>
      <c r="M16" s="56">
        <f>IF($D16="","",IF([5]設定!$H30="",INDEX([5]第３表!$F$80:$Q$136,MATCH([5]設定!$D30,[5]第３表!$C$80:$C$136,0),9),[5]設定!$H30))</f>
        <v>19.399999999999999</v>
      </c>
      <c r="N16" s="56">
        <f>IF($D16="","",IF([5]設定!$H30="",INDEX([5]第３表!$F$80:$Q$136,MATCH([5]設定!$D30,[5]第３表!$C$80:$C$136,0),10),[5]設定!$H30))</f>
        <v>139.5</v>
      </c>
      <c r="O16" s="56">
        <f>IF($D16="","",IF([5]設定!$H30="",INDEX([5]第３表!$F$80:$Q$136,MATCH([5]設定!$D30,[5]第３表!$C$80:$C$136,0),11),[5]設定!$H30))</f>
        <v>135.80000000000001</v>
      </c>
      <c r="P16" s="57">
        <f>IF($D16="","",IF([5]設定!$H30="",INDEX([5]第３表!$F$80:$Q$136,MATCH([5]設定!$D30,[5]第３表!$C$80:$C$136,0),12),[5]設定!$H30))</f>
        <v>3.7</v>
      </c>
    </row>
    <row r="17" spans="2:16" s="8" customFormat="1" ht="17.25" customHeight="1" x14ac:dyDescent="0.45">
      <c r="B17" s="49" t="str">
        <f>+[6]第５表!B17</f>
        <v>K</v>
      </c>
      <c r="C17" s="50"/>
      <c r="D17" s="51" t="str">
        <f>+[6]第５表!D17</f>
        <v>不動産業，物品賃貸業</v>
      </c>
      <c r="E17" s="52">
        <f>IF($D17="","",IF([5]設定!$H31="",INDEX([5]第３表!$F$80:$Q$136,MATCH([5]設定!$D31,[5]第３表!$C$80:$C$136,0),1),[5]設定!$H31))</f>
        <v>17.2</v>
      </c>
      <c r="F17" s="52">
        <f>IF($D17="","",IF([5]設定!$H31="",INDEX([5]第３表!$F$80:$Q$136,MATCH([5]設定!$D31,[5]第３表!$C$80:$C$136,0),2),[5]設定!$H31))</f>
        <v>110.3</v>
      </c>
      <c r="G17" s="52">
        <f>IF($D17="","",IF([5]設定!$H31="",INDEX([5]第３表!$F$80:$Q$136,MATCH([5]設定!$D31,[5]第３表!$C$80:$C$136,0),3),[5]設定!$H31))</f>
        <v>107</v>
      </c>
      <c r="H17" s="52">
        <f>IF($D17="","",IF([5]設定!$H31="",INDEX([5]第３表!$F$80:$Q$136,MATCH([5]設定!$D31,[5]第３表!$C$80:$C$136,0),4),[5]設定!$H31))</f>
        <v>3.3</v>
      </c>
      <c r="I17" s="54">
        <f>IF($D17="","",IF([5]設定!$H31="",INDEX([5]第３表!$F$80:$Q$136,MATCH([5]設定!$D31,[5]第３表!$C$80:$C$136,0),5),[5]設定!$H31))</f>
        <v>19.399999999999999</v>
      </c>
      <c r="J17" s="54">
        <f>IF($D17="","",IF([5]設定!$H31="",INDEX([5]第３表!$F$80:$Q$136,MATCH([5]設定!$D31,[5]第３表!$C$80:$C$136,0),6),[5]設定!$H31))</f>
        <v>157.1</v>
      </c>
      <c r="K17" s="54">
        <f>IF($D17="","",IF([5]設定!$H31="",INDEX([5]第３表!$F$80:$Q$136,MATCH([5]設定!$D31,[5]第３表!$C$80:$C$136,0),7),[5]設定!$H31))</f>
        <v>149.69999999999999</v>
      </c>
      <c r="L17" s="55">
        <f>IF($D17="","",IF([5]設定!$H31="",INDEX([5]第３表!$F$80:$Q$136,MATCH([5]設定!$D31,[5]第３表!$C$80:$C$136,0),8),[5]設定!$H31))</f>
        <v>7.4</v>
      </c>
      <c r="M17" s="56">
        <f>IF($D17="","",IF([5]設定!$H31="",INDEX([5]第３表!$F$80:$Q$136,MATCH([5]設定!$D31,[5]第３表!$C$80:$C$136,0),9),[5]設定!$H31))</f>
        <v>15.9</v>
      </c>
      <c r="N17" s="56">
        <f>IF($D17="","",IF([5]設定!$H31="",INDEX([5]第３表!$F$80:$Q$136,MATCH([5]設定!$D31,[5]第３表!$C$80:$C$136,0),10),[5]設定!$H31))</f>
        <v>81.599999999999994</v>
      </c>
      <c r="O17" s="56">
        <f>IF($D17="","",IF([5]設定!$H31="",INDEX([5]第３表!$F$80:$Q$136,MATCH([5]設定!$D31,[5]第３表!$C$80:$C$136,0),11),[5]設定!$H31))</f>
        <v>80.900000000000006</v>
      </c>
      <c r="P17" s="57">
        <f>IF($D17="","",IF([5]設定!$H31="",INDEX([5]第３表!$F$80:$Q$136,MATCH([5]設定!$D31,[5]第３表!$C$80:$C$136,0),12),[5]設定!$H31))</f>
        <v>0.7</v>
      </c>
    </row>
    <row r="18" spans="2:16" s="8" customFormat="1" ht="17.25" customHeight="1" x14ac:dyDescent="0.45">
      <c r="B18" s="49" t="str">
        <f>+[6]第５表!B18</f>
        <v>L</v>
      </c>
      <c r="C18" s="50"/>
      <c r="D18" s="59" t="str">
        <f>+[6]第５表!D18</f>
        <v>学術研究，専門・技術サービス業</v>
      </c>
      <c r="E18" s="52">
        <f>IF($D18="","",IF([5]設定!$H32="",INDEX([5]第３表!$F$80:$Q$136,MATCH([5]設定!$D32,[5]第３表!$C$80:$C$136,0),1),[5]設定!$H32))</f>
        <v>20.100000000000001</v>
      </c>
      <c r="F18" s="52">
        <f>IF($D18="","",IF([5]設定!$H32="",INDEX([5]第３表!$F$80:$Q$136,MATCH([5]設定!$D32,[5]第３表!$C$80:$C$136,0),2),[5]設定!$H32))</f>
        <v>161.30000000000001</v>
      </c>
      <c r="G18" s="52">
        <f>IF($D18="","",IF([5]設定!$H32="",INDEX([5]第３表!$F$80:$Q$136,MATCH([5]設定!$D32,[5]第３表!$C$80:$C$136,0),3),[5]設定!$H32))</f>
        <v>151.6</v>
      </c>
      <c r="H18" s="53">
        <f>IF($D18="","",IF([5]設定!$H32="",INDEX([5]第３表!$F$80:$Q$136,MATCH([5]設定!$D32,[5]第３表!$C$80:$C$136,0),4),[5]設定!$H32))</f>
        <v>9.6999999999999993</v>
      </c>
      <c r="I18" s="54">
        <f>IF($D18="","",IF([5]設定!$H32="",INDEX([5]第３表!$F$80:$Q$136,MATCH([5]設定!$D32,[5]第３表!$C$80:$C$136,0),5),[5]設定!$H32))</f>
        <v>19.5</v>
      </c>
      <c r="J18" s="54">
        <f>IF($D18="","",IF([5]設定!$H32="",INDEX([5]第３表!$F$80:$Q$136,MATCH([5]設定!$D32,[5]第３表!$C$80:$C$136,0),6),[5]設定!$H32))</f>
        <v>160.80000000000001</v>
      </c>
      <c r="K18" s="54">
        <f>IF($D18="","",IF([5]設定!$H32="",INDEX([5]第３表!$F$80:$Q$136,MATCH([5]設定!$D32,[5]第３表!$C$80:$C$136,0),7),[5]設定!$H32))</f>
        <v>152.69999999999999</v>
      </c>
      <c r="L18" s="55">
        <f>IF($D18="","",IF([5]設定!$H32="",INDEX([5]第３表!$F$80:$Q$136,MATCH([5]設定!$D32,[5]第３表!$C$80:$C$136,0),8),[5]設定!$H32))</f>
        <v>8.1</v>
      </c>
      <c r="M18" s="56">
        <f>IF($D18="","",IF([5]設定!$H32="",INDEX([5]第３表!$F$80:$Q$136,MATCH([5]設定!$D32,[5]第３表!$C$80:$C$136,0),9),[5]設定!$H32))</f>
        <v>21.3</v>
      </c>
      <c r="N18" s="56">
        <f>IF($D18="","",IF([5]設定!$H32="",INDEX([5]第３表!$F$80:$Q$136,MATCH([5]設定!$D32,[5]第３表!$C$80:$C$136,0),10),[5]設定!$H32))</f>
        <v>162.30000000000001</v>
      </c>
      <c r="O18" s="56">
        <f>IF($D18="","",IF([5]設定!$H32="",INDEX([5]第３表!$F$80:$Q$136,MATCH([5]設定!$D32,[5]第３表!$C$80:$C$136,0),11),[5]設定!$H32))</f>
        <v>149.6</v>
      </c>
      <c r="P18" s="57">
        <f>IF($D18="","",IF([5]設定!$H32="",INDEX([5]第３表!$F$80:$Q$136,MATCH([5]設定!$D32,[5]第３表!$C$80:$C$136,0),12),[5]設定!$H32))</f>
        <v>12.7</v>
      </c>
    </row>
    <row r="19" spans="2:16" s="8" customFormat="1" ht="17.25" customHeight="1" x14ac:dyDescent="0.45">
      <c r="B19" s="49" t="str">
        <f>+[6]第５表!B19</f>
        <v>M</v>
      </c>
      <c r="C19" s="50"/>
      <c r="D19" s="60" t="str">
        <f>+[6]第５表!D19</f>
        <v>宿泊業，飲食サービス業</v>
      </c>
      <c r="E19" s="52">
        <f>IF($D19="","",IF([5]設定!$H33="",INDEX([5]第３表!$F$80:$Q$136,MATCH([5]設定!$D33,[5]第３表!$C$80:$C$136,0),1),[5]設定!$H33))</f>
        <v>15.1</v>
      </c>
      <c r="F19" s="52">
        <f>IF($D19="","",IF([5]設定!$H33="",INDEX([5]第３表!$F$80:$Q$136,MATCH([5]設定!$D33,[5]第３表!$C$80:$C$136,0),2),[5]設定!$H33))</f>
        <v>85.5</v>
      </c>
      <c r="G19" s="52">
        <f>IF($D19="","",IF([5]設定!$H33="",INDEX([5]第３表!$F$80:$Q$136,MATCH([5]設定!$D33,[5]第３表!$C$80:$C$136,0),3),[5]設定!$H33))</f>
        <v>81.900000000000006</v>
      </c>
      <c r="H19" s="53">
        <f>IF($D19="","",IF([5]設定!$H33="",INDEX([5]第３表!$F$80:$Q$136,MATCH([5]設定!$D33,[5]第３表!$C$80:$C$136,0),4),[5]設定!$H33))</f>
        <v>3.6</v>
      </c>
      <c r="I19" s="54">
        <f>IF($D19="","",IF([5]設定!$H33="",INDEX([5]第３表!$F$80:$Q$136,MATCH([5]設定!$D33,[5]第３表!$C$80:$C$136,0),5),[5]設定!$H33))</f>
        <v>15.9</v>
      </c>
      <c r="J19" s="54">
        <f>IF($D19="","",IF([5]設定!$H33="",INDEX([5]第３表!$F$80:$Q$136,MATCH([5]設定!$D33,[5]第３表!$C$80:$C$136,0),6),[5]設定!$H33))</f>
        <v>92.6</v>
      </c>
      <c r="K19" s="54">
        <f>IF($D19="","",IF([5]設定!$H33="",INDEX([5]第３表!$F$80:$Q$136,MATCH([5]設定!$D33,[5]第３表!$C$80:$C$136,0),7),[5]設定!$H33))</f>
        <v>86.4</v>
      </c>
      <c r="L19" s="55">
        <f>IF($D19="","",IF([5]設定!$H33="",INDEX([5]第３表!$F$80:$Q$136,MATCH([5]設定!$D33,[5]第３表!$C$80:$C$136,0),8),[5]設定!$H33))</f>
        <v>6.2</v>
      </c>
      <c r="M19" s="56">
        <f>IF($D19="","",IF([5]設定!$H33="",INDEX([5]第３表!$F$80:$Q$136,MATCH([5]設定!$D33,[5]第３表!$C$80:$C$136,0),9),[5]設定!$H33))</f>
        <v>14.7</v>
      </c>
      <c r="N19" s="56">
        <f>IF($D19="","",IF([5]設定!$H33="",INDEX([5]第３表!$F$80:$Q$136,MATCH([5]設定!$D33,[5]第３表!$C$80:$C$136,0),10),[5]設定!$H33))</f>
        <v>82</v>
      </c>
      <c r="O19" s="56">
        <f>IF($D19="","",IF([5]設定!$H33="",INDEX([5]第３表!$F$80:$Q$136,MATCH([5]設定!$D33,[5]第３表!$C$80:$C$136,0),11),[5]設定!$H33))</f>
        <v>79.7</v>
      </c>
      <c r="P19" s="57">
        <f>IF($D19="","",IF([5]設定!$H33="",INDEX([5]第３表!$F$80:$Q$136,MATCH([5]設定!$D33,[5]第３表!$C$80:$C$136,0),12),[5]設定!$H33))</f>
        <v>2.2999999999999998</v>
      </c>
    </row>
    <row r="20" spans="2:16" s="8" customFormat="1" ht="17.25" customHeight="1" x14ac:dyDescent="0.45">
      <c r="B20" s="49" t="str">
        <f>+[6]第５表!B20</f>
        <v>N</v>
      </c>
      <c r="C20" s="50"/>
      <c r="D20" s="61" t="str">
        <f>+[6]第５表!D20</f>
        <v>生活関連サービス業，娯楽業</v>
      </c>
      <c r="E20" s="52">
        <f>IF($D20="","",IF([5]設定!$H34="",INDEX([5]第３表!$F$80:$Q$136,MATCH([5]設定!$D34,[5]第３表!$C$80:$C$136,0),1),[5]設定!$H34))</f>
        <v>16.899999999999999</v>
      </c>
      <c r="F20" s="52">
        <f>IF($D20="","",IF([5]設定!$H34="",INDEX([5]第３表!$F$80:$Q$136,MATCH([5]設定!$D34,[5]第３表!$C$80:$C$136,0),2),[5]設定!$H34))</f>
        <v>120.8</v>
      </c>
      <c r="G20" s="52">
        <f>IF($D20="","",IF([5]設定!$H34="",INDEX([5]第３表!$F$80:$Q$136,MATCH([5]設定!$D34,[5]第３表!$C$80:$C$136,0),3),[5]設定!$H34))</f>
        <v>116</v>
      </c>
      <c r="H20" s="53">
        <f>IF($D20="","",IF([5]設定!$H34="",INDEX([5]第３表!$F$80:$Q$136,MATCH([5]設定!$D34,[5]第３表!$C$80:$C$136,0),4),[5]設定!$H34))</f>
        <v>4.8</v>
      </c>
      <c r="I20" s="54">
        <f>IF($D20="","",IF([5]設定!$H34="",INDEX([5]第３表!$F$80:$Q$136,MATCH([5]設定!$D34,[5]第３表!$C$80:$C$136,0),5),[5]設定!$H34))</f>
        <v>16.399999999999999</v>
      </c>
      <c r="J20" s="54">
        <f>IF($D20="","",IF([5]設定!$H34="",INDEX([5]第３表!$F$80:$Q$136,MATCH([5]設定!$D34,[5]第３表!$C$80:$C$136,0),6),[5]設定!$H34))</f>
        <v>123.7</v>
      </c>
      <c r="K20" s="54">
        <f>IF($D20="","",IF([5]設定!$H34="",INDEX([5]第３表!$F$80:$Q$136,MATCH([5]設定!$D34,[5]第３表!$C$80:$C$136,0),7),[5]設定!$H34))</f>
        <v>117.8</v>
      </c>
      <c r="L20" s="55">
        <f>IF($D20="","",IF([5]設定!$H34="",INDEX([5]第３表!$F$80:$Q$136,MATCH([5]設定!$D34,[5]第３表!$C$80:$C$136,0),8),[5]設定!$H34))</f>
        <v>5.9</v>
      </c>
      <c r="M20" s="56">
        <f>IF($D20="","",IF([5]設定!$H34="",INDEX([5]第３表!$F$80:$Q$136,MATCH([5]設定!$D34,[5]第３表!$C$80:$C$136,0),9),[5]設定!$H34))</f>
        <v>17.600000000000001</v>
      </c>
      <c r="N20" s="56">
        <f>IF($D20="","",IF([5]設定!$H34="",INDEX([5]第３表!$F$80:$Q$136,MATCH([5]設定!$D34,[5]第３表!$C$80:$C$136,0),10),[5]設定!$H34))</f>
        <v>116.8</v>
      </c>
      <c r="O20" s="56">
        <f>IF($D20="","",IF([5]設定!$H34="",INDEX([5]第３表!$F$80:$Q$136,MATCH([5]設定!$D34,[5]第３表!$C$80:$C$136,0),11),[5]設定!$H34))</f>
        <v>113.6</v>
      </c>
      <c r="P20" s="57">
        <f>IF($D20="","",IF([5]設定!$H34="",INDEX([5]第３表!$F$80:$Q$136,MATCH([5]設定!$D34,[5]第３表!$C$80:$C$136,0),12),[5]設定!$H34))</f>
        <v>3.2</v>
      </c>
    </row>
    <row r="21" spans="2:16" s="8" customFormat="1" ht="17.25" customHeight="1" x14ac:dyDescent="0.45">
      <c r="B21" s="49" t="str">
        <f>+[6]第５表!B21</f>
        <v>O</v>
      </c>
      <c r="C21" s="50"/>
      <c r="D21" s="51" t="str">
        <f>+[6]第５表!D21</f>
        <v>教育，学習支援業</v>
      </c>
      <c r="E21" s="52">
        <f>IF($D21="","",IF([5]設定!$H35="",INDEX([5]第３表!$F$80:$Q$136,MATCH([5]設定!$D35,[5]第３表!$C$80:$C$136,0),1),[5]設定!$H35))</f>
        <v>19.2</v>
      </c>
      <c r="F21" s="52">
        <f>IF($D21="","",IF([5]設定!$H35="",INDEX([5]第３表!$F$80:$Q$136,MATCH([5]設定!$D35,[5]第３表!$C$80:$C$136,0),2),[5]設定!$H35))</f>
        <v>157.19999999999999</v>
      </c>
      <c r="G21" s="52">
        <f>IF($D21="","",IF([5]設定!$H35="",INDEX([5]第３表!$F$80:$Q$136,MATCH([5]設定!$D35,[5]第３表!$C$80:$C$136,0),3),[5]設定!$H35))</f>
        <v>137.4</v>
      </c>
      <c r="H21" s="53">
        <f>IF($D21="","",IF([5]設定!$H35="",INDEX([5]第３表!$F$80:$Q$136,MATCH([5]設定!$D35,[5]第３表!$C$80:$C$136,0),4),[5]設定!$H35))</f>
        <v>19.8</v>
      </c>
      <c r="I21" s="54">
        <f>IF($D21="","",IF([5]設定!$H35="",INDEX([5]第３表!$F$80:$Q$136,MATCH([5]設定!$D35,[5]第３表!$C$80:$C$136,0),5),[5]設定!$H35))</f>
        <v>19.8</v>
      </c>
      <c r="J21" s="54">
        <f>IF($D21="","",IF([5]設定!$H35="",INDEX([5]第３表!$F$80:$Q$136,MATCH([5]設定!$D35,[5]第３表!$C$80:$C$136,0),6),[5]設定!$H35))</f>
        <v>170.1</v>
      </c>
      <c r="K21" s="54">
        <f>IF($D21="","",IF([5]設定!$H35="",INDEX([5]第３表!$F$80:$Q$136,MATCH([5]設定!$D35,[5]第３表!$C$80:$C$136,0),7),[5]設定!$H35))</f>
        <v>142.30000000000001</v>
      </c>
      <c r="L21" s="55">
        <f>IF($D21="","",IF([5]設定!$H35="",INDEX([5]第３表!$F$80:$Q$136,MATCH([5]設定!$D35,[5]第３表!$C$80:$C$136,0),8),[5]設定!$H35))</f>
        <v>27.8</v>
      </c>
      <c r="M21" s="56">
        <f>IF($D21="","",IF([5]設定!$H35="",INDEX([5]第３表!$F$80:$Q$136,MATCH([5]設定!$D35,[5]第３表!$C$80:$C$136,0),9),[5]設定!$H35))</f>
        <v>18.600000000000001</v>
      </c>
      <c r="N21" s="56">
        <f>IF($D21="","",IF([5]設定!$H35="",INDEX([5]第３表!$F$80:$Q$136,MATCH([5]設定!$D35,[5]第３表!$C$80:$C$136,0),10),[5]設定!$H35))</f>
        <v>146</v>
      </c>
      <c r="O21" s="56">
        <f>IF($D21="","",IF([5]設定!$H35="",INDEX([5]第３表!$F$80:$Q$136,MATCH([5]設定!$D35,[5]第３表!$C$80:$C$136,0),11),[5]設定!$H35))</f>
        <v>133.1</v>
      </c>
      <c r="P21" s="57">
        <f>IF($D21="","",IF([5]設定!$H35="",INDEX([5]第３表!$F$80:$Q$136,MATCH([5]設定!$D35,[5]第３表!$C$80:$C$136,0),12),[5]設定!$H35))</f>
        <v>12.9</v>
      </c>
    </row>
    <row r="22" spans="2:16" s="8" customFormat="1" ht="17.25" customHeight="1" x14ac:dyDescent="0.45">
      <c r="B22" s="49" t="str">
        <f>+[6]第５表!B22</f>
        <v>P</v>
      </c>
      <c r="C22" s="50"/>
      <c r="D22" s="51" t="str">
        <f>+[6]第５表!D22</f>
        <v>医療，福祉</v>
      </c>
      <c r="E22" s="52">
        <f>IF($D22="","",IF([5]設定!$H36="",INDEX([5]第３表!$F$80:$Q$136,MATCH([5]設定!$D36,[5]第３表!$C$80:$C$136,0),1),[5]設定!$H36))</f>
        <v>18.7</v>
      </c>
      <c r="F22" s="52">
        <f>IF($D22="","",IF([5]設定!$H36="",INDEX([5]第３表!$F$80:$Q$136,MATCH([5]設定!$D36,[5]第３表!$C$80:$C$136,0),2),[5]設定!$H36))</f>
        <v>134.69999999999999</v>
      </c>
      <c r="G22" s="52">
        <f>IF($D22="","",IF([5]設定!$H36="",INDEX([5]第３表!$F$80:$Q$136,MATCH([5]設定!$D36,[5]第３表!$C$80:$C$136,0),3),[5]設定!$H36))</f>
        <v>130.80000000000001</v>
      </c>
      <c r="H22" s="53">
        <f>IF($D22="","",IF([5]設定!$H36="",INDEX([5]第３表!$F$80:$Q$136,MATCH([5]設定!$D36,[5]第３表!$C$80:$C$136,0),4),[5]設定!$H36))</f>
        <v>3.9</v>
      </c>
      <c r="I22" s="54">
        <f>IF($D22="","",IF([5]設定!$H36="",INDEX([5]第３表!$F$80:$Q$136,MATCH([5]設定!$D36,[5]第３表!$C$80:$C$136,0),5),[5]設定!$H36))</f>
        <v>19.600000000000001</v>
      </c>
      <c r="J22" s="54">
        <f>IF($D22="","",IF([5]設定!$H36="",INDEX([5]第３表!$F$80:$Q$136,MATCH([5]設定!$D36,[5]第３表!$C$80:$C$136,0),6),[5]設定!$H36))</f>
        <v>140.69999999999999</v>
      </c>
      <c r="K22" s="54">
        <f>IF($D22="","",IF([5]設定!$H36="",INDEX([5]第３表!$F$80:$Q$136,MATCH([5]設定!$D36,[5]第３表!$C$80:$C$136,0),7),[5]設定!$H36))</f>
        <v>135.4</v>
      </c>
      <c r="L22" s="55">
        <f>IF($D22="","",IF([5]設定!$H36="",INDEX([5]第３表!$F$80:$Q$136,MATCH([5]設定!$D36,[5]第３表!$C$80:$C$136,0),8),[5]設定!$H36))</f>
        <v>5.3</v>
      </c>
      <c r="M22" s="56">
        <f>IF($D22="","",IF([5]設定!$H36="",INDEX([5]第３表!$F$80:$Q$136,MATCH([5]設定!$D36,[5]第３表!$C$80:$C$136,0),9),[5]設定!$H36))</f>
        <v>18.399999999999999</v>
      </c>
      <c r="N22" s="56">
        <f>IF($D22="","",IF([5]設定!$H36="",INDEX([5]第３表!$F$80:$Q$136,MATCH([5]設定!$D36,[5]第３表!$C$80:$C$136,0),10),[5]設定!$H36))</f>
        <v>132.80000000000001</v>
      </c>
      <c r="O22" s="56">
        <f>IF($D22="","",IF([5]設定!$H36="",INDEX([5]第３表!$F$80:$Q$136,MATCH([5]設定!$D36,[5]第３表!$C$80:$C$136,0),11),[5]設定!$H36))</f>
        <v>129.4</v>
      </c>
      <c r="P22" s="57">
        <f>IF($D22="","",IF([5]設定!$H36="",INDEX([5]第３表!$F$80:$Q$136,MATCH([5]設定!$D36,[5]第３表!$C$80:$C$136,0),12),[5]設定!$H36))</f>
        <v>3.4</v>
      </c>
    </row>
    <row r="23" spans="2:16" s="8" customFormat="1" ht="17.25" customHeight="1" x14ac:dyDescent="0.45">
      <c r="B23" s="49" t="str">
        <f>+[6]第５表!B23</f>
        <v>Q</v>
      </c>
      <c r="C23" s="50"/>
      <c r="D23" s="51" t="str">
        <f>+[6]第５表!D23</f>
        <v>複合サービス事業</v>
      </c>
      <c r="E23" s="52">
        <f>IF($D23="","",IF([5]設定!$H37="",INDEX([5]第３表!$F$80:$Q$136,MATCH([5]設定!$D37,[5]第３表!$C$80:$C$136,0),1),[5]設定!$H37))</f>
        <v>19.3</v>
      </c>
      <c r="F23" s="52">
        <f>IF($D23="","",IF([5]設定!$H37="",INDEX([5]第３表!$F$80:$Q$136,MATCH([5]設定!$D37,[5]第３表!$C$80:$C$136,0),2),[5]設定!$H37))</f>
        <v>154</v>
      </c>
      <c r="G23" s="52">
        <f>IF($D23="","",IF([5]設定!$H37="",INDEX([5]第３表!$F$80:$Q$136,MATCH([5]設定!$D37,[5]第３表!$C$80:$C$136,0),3),[5]設定!$H37))</f>
        <v>148.30000000000001</v>
      </c>
      <c r="H23" s="53">
        <f>IF($D23="","",IF([5]設定!$H37="",INDEX([5]第３表!$F$80:$Q$136,MATCH([5]設定!$D37,[5]第３表!$C$80:$C$136,0),4),[5]設定!$H37))</f>
        <v>5.7</v>
      </c>
      <c r="I23" s="54">
        <f>IF($D23="","",IF([5]設定!$H37="",INDEX([5]第３表!$F$80:$Q$136,MATCH([5]設定!$D37,[5]第３表!$C$80:$C$136,0),5),[5]設定!$H37))</f>
        <v>18.899999999999999</v>
      </c>
      <c r="J23" s="54">
        <f>IF($D23="","",IF([5]設定!$H37="",INDEX([5]第３表!$F$80:$Q$136,MATCH([5]設定!$D37,[5]第３表!$C$80:$C$136,0),6),[5]設定!$H37))</f>
        <v>152.19999999999999</v>
      </c>
      <c r="K23" s="54">
        <f>IF($D23="","",IF([5]設定!$H37="",INDEX([5]第３表!$F$80:$Q$136,MATCH([5]設定!$D37,[5]第３表!$C$80:$C$136,0),7),[5]設定!$H37))</f>
        <v>147.4</v>
      </c>
      <c r="L23" s="55">
        <f>IF($D23="","",IF([5]設定!$H37="",INDEX([5]第３表!$F$80:$Q$136,MATCH([5]設定!$D37,[5]第３表!$C$80:$C$136,0),8),[5]設定!$H37))</f>
        <v>4.8</v>
      </c>
      <c r="M23" s="56">
        <f>IF($D23="","",IF([5]設定!$H37="",INDEX([5]第３表!$F$80:$Q$136,MATCH([5]設定!$D37,[5]第３表!$C$80:$C$136,0),9),[5]設定!$H37))</f>
        <v>20</v>
      </c>
      <c r="N23" s="56">
        <f>IF($D23="","",IF([5]設定!$H37="",INDEX([5]第３表!$F$80:$Q$136,MATCH([5]設定!$D37,[5]第３表!$C$80:$C$136,0),10),[5]設定!$H37))</f>
        <v>156.69999999999999</v>
      </c>
      <c r="O23" s="56">
        <f>IF($D23="","",IF([5]設定!$H37="",INDEX([5]第３表!$F$80:$Q$136,MATCH([5]設定!$D37,[5]第３表!$C$80:$C$136,0),11),[5]設定!$H37))</f>
        <v>149.6</v>
      </c>
      <c r="P23" s="57">
        <f>IF($D23="","",IF([5]設定!$H37="",INDEX([5]第３表!$F$80:$Q$136,MATCH([5]設定!$D37,[5]第３表!$C$80:$C$136,0),12),[5]設定!$H37))</f>
        <v>7.1</v>
      </c>
    </row>
    <row r="24" spans="2:16" s="8" customFormat="1" ht="17.25" customHeight="1" x14ac:dyDescent="0.45">
      <c r="B24" s="49" t="str">
        <f>+[6]第５表!B24</f>
        <v>R</v>
      </c>
      <c r="C24" s="50"/>
      <c r="D24" s="62" t="str">
        <f>+[6]第５表!D24</f>
        <v>サービス業（他に分類されないもの）</v>
      </c>
      <c r="E24" s="52">
        <f>IF($D24="","",IF([5]設定!$H38="",INDEX([5]第３表!$F$80:$Q$136,MATCH([5]設定!$D38,[5]第３表!$C$80:$C$136,0),1),[5]設定!$H38))</f>
        <v>19.100000000000001</v>
      </c>
      <c r="F24" s="52">
        <f>IF($D24="","",IF([5]設定!$H38="",INDEX([5]第３表!$F$80:$Q$136,MATCH([5]設定!$D38,[5]第３表!$C$80:$C$136,0),2),[5]設定!$H38))</f>
        <v>145.4</v>
      </c>
      <c r="G24" s="52">
        <f>IF($D24="","",IF([5]設定!$H38="",INDEX([5]第３表!$F$80:$Q$136,MATCH([5]設定!$D38,[5]第３表!$C$80:$C$136,0),3),[5]設定!$H38))</f>
        <v>136.4</v>
      </c>
      <c r="H24" s="53">
        <f>IF($D24="","",IF([5]設定!$H38="",INDEX([5]第３表!$F$80:$Q$136,MATCH([5]設定!$D38,[5]第３表!$C$80:$C$136,0),4),[5]設定!$H38))</f>
        <v>9</v>
      </c>
      <c r="I24" s="54">
        <f>IF($D24="","",IF([5]設定!$H38="",INDEX([5]第３表!$F$80:$Q$136,MATCH([5]設定!$D38,[5]第３表!$C$80:$C$136,0),5),[5]設定!$H38))</f>
        <v>19.8</v>
      </c>
      <c r="J24" s="54">
        <f>IF($D24="","",IF([5]設定!$H38="",INDEX([5]第３表!$F$80:$Q$136,MATCH([5]設定!$D38,[5]第３表!$C$80:$C$136,0),6),[5]設定!$H38))</f>
        <v>162.1</v>
      </c>
      <c r="K24" s="54">
        <f>IF($D24="","",IF([5]設定!$H38="",INDEX([5]第３表!$F$80:$Q$136,MATCH([5]設定!$D38,[5]第３表!$C$80:$C$136,0),7),[5]設定!$H38))</f>
        <v>149.1</v>
      </c>
      <c r="L24" s="55">
        <f>IF($D24="","",IF([5]設定!$H38="",INDEX([5]第３表!$F$80:$Q$136,MATCH([5]設定!$D38,[5]第３表!$C$80:$C$136,0),8),[5]設定!$H38))</f>
        <v>13</v>
      </c>
      <c r="M24" s="56">
        <f>IF($D24="","",IF([5]設定!$H38="",INDEX([5]第３表!$F$80:$Q$136,MATCH([5]設定!$D38,[5]第３表!$C$80:$C$136,0),9),[5]設定!$H38))</f>
        <v>18.5</v>
      </c>
      <c r="N24" s="56">
        <f>IF($D24="","",IF([5]設定!$H38="",INDEX([5]第３表!$F$80:$Q$136,MATCH([5]設定!$D38,[5]第３表!$C$80:$C$136,0),10),[5]設定!$H38))</f>
        <v>129</v>
      </c>
      <c r="O24" s="56">
        <f>IF($D24="","",IF([5]設定!$H38="",INDEX([5]第３表!$F$80:$Q$136,MATCH([5]設定!$D38,[5]第３表!$C$80:$C$136,0),11),[5]設定!$H38))</f>
        <v>123.9</v>
      </c>
      <c r="P24" s="57">
        <f>IF($D24="","",IF([5]設定!$H38="",INDEX([5]第３表!$F$80:$Q$136,MATCH([5]設定!$D38,[5]第３表!$C$80:$C$136,0),12),[5]設定!$H38))</f>
        <v>5.0999999999999996</v>
      </c>
    </row>
    <row r="25" spans="2:16" s="8" customFormat="1" ht="17.25" customHeight="1" x14ac:dyDescent="0.45">
      <c r="B25" s="45" t="str">
        <f>+[6]第５表!B25</f>
        <v>E09,10</v>
      </c>
      <c r="C25" s="46"/>
      <c r="D25" s="63" t="str">
        <f>+[6]第５表!D25</f>
        <v>食料品・たばこ</v>
      </c>
      <c r="E25" s="48">
        <f>IF($D25="","",IF([5]設定!$H39="",INDEX([5]第３表!$F$80:$Q$136,MATCH([5]設定!$D39,[5]第３表!$C$80:$C$136,0),1),[5]設定!$H39))</f>
        <v>18.5</v>
      </c>
      <c r="F25" s="48">
        <f>IF($D25="","",IF([5]設定!$H39="",INDEX([5]第３表!$F$80:$Q$136,MATCH([5]設定!$D39,[5]第３表!$C$80:$C$136,0),2),[5]設定!$H39))</f>
        <v>141.19999999999999</v>
      </c>
      <c r="G25" s="48">
        <f>IF($D25="","",IF([5]設定!$H39="",INDEX([5]第３表!$F$80:$Q$136,MATCH([5]設定!$D39,[5]第３表!$C$80:$C$136,0),3),[5]設定!$H39))</f>
        <v>132.30000000000001</v>
      </c>
      <c r="H25" s="64">
        <f>IF($D25="","",IF([5]設定!$H39="",INDEX([5]第３表!$F$80:$Q$136,MATCH([5]設定!$D39,[5]第３表!$C$80:$C$136,0),4),[5]設定!$H39))</f>
        <v>8.9</v>
      </c>
      <c r="I25" s="48">
        <f>IF($D25="","",IF([5]設定!$H39="",INDEX([5]第３表!$F$80:$Q$136,MATCH([5]設定!$D39,[5]第３表!$C$80:$C$136,0),5),[5]設定!$H39))</f>
        <v>18.899999999999999</v>
      </c>
      <c r="J25" s="48">
        <f>IF($D25="","",IF([5]設定!$H39="",INDEX([5]第３表!$F$80:$Q$136,MATCH([5]設定!$D39,[5]第３表!$C$80:$C$136,0),6),[5]設定!$H39))</f>
        <v>155.9</v>
      </c>
      <c r="K25" s="48">
        <f>IF($D25="","",IF([5]設定!$H39="",INDEX([5]第３表!$F$80:$Q$136,MATCH([5]設定!$D39,[5]第３表!$C$80:$C$136,0),7),[5]設定!$H39))</f>
        <v>142.5</v>
      </c>
      <c r="L25" s="64">
        <f>IF($D25="","",IF([5]設定!$H39="",INDEX([5]第３表!$F$80:$Q$136,MATCH([5]設定!$D39,[5]第３表!$C$80:$C$136,0),8),[5]設定!$H39))</f>
        <v>13.4</v>
      </c>
      <c r="M25" s="48">
        <f>IF($D25="","",IF([5]設定!$H39="",INDEX([5]第３表!$F$80:$Q$136,MATCH([5]設定!$D39,[5]第３表!$C$80:$C$136,0),9),[5]設定!$H39))</f>
        <v>18.2</v>
      </c>
      <c r="N25" s="48">
        <f>IF($D25="","",IF([5]設定!$H39="",INDEX([5]第３表!$F$80:$Q$136,MATCH([5]設定!$D39,[5]第３表!$C$80:$C$136,0),10),[5]設定!$H39))</f>
        <v>130.80000000000001</v>
      </c>
      <c r="O25" s="48">
        <f>IF($D25="","",IF([5]設定!$H39="",INDEX([5]第３表!$F$80:$Q$136,MATCH([5]設定!$D39,[5]第３表!$C$80:$C$136,0),11),[5]設定!$H39))</f>
        <v>125</v>
      </c>
      <c r="P25" s="64">
        <f>IF($D25="","",IF([5]設定!$H39="",INDEX([5]第３表!$F$80:$Q$136,MATCH([5]設定!$D39,[5]第３表!$C$80:$C$136,0),12),[5]設定!$H39))</f>
        <v>5.8</v>
      </c>
    </row>
    <row r="26" spans="2:16" s="8" customFormat="1" ht="17.25" customHeight="1" x14ac:dyDescent="0.45">
      <c r="B26" s="49" t="str">
        <f>+[6]第５表!B26</f>
        <v>E11</v>
      </c>
      <c r="C26" s="50"/>
      <c r="D26" s="65" t="str">
        <f>+[6]第５表!D26</f>
        <v>繊維工業</v>
      </c>
      <c r="E26" s="52">
        <f>IF($D26="","",IF([5]設定!$H40="",INDEX([5]第３表!$F$80:$Q$136,MATCH([5]設定!$D40,[5]第３表!$C$80:$C$136,0),1),[5]設定!$H40))</f>
        <v>20.6</v>
      </c>
      <c r="F26" s="52">
        <f>IF($D26="","",IF([5]設定!$H40="",INDEX([5]第３表!$F$80:$Q$136,MATCH([5]設定!$D40,[5]第３表!$C$80:$C$136,0),2),[5]設定!$H40))</f>
        <v>169.5</v>
      </c>
      <c r="G26" s="52">
        <f>IF($D26="","",IF([5]設定!$H40="",INDEX([5]第３表!$F$80:$Q$136,MATCH([5]設定!$D40,[5]第３表!$C$80:$C$136,0),3),[5]設定!$H40))</f>
        <v>155.19999999999999</v>
      </c>
      <c r="H26" s="55">
        <f>IF($D26="","",IF([5]設定!$H40="",INDEX([5]第３表!$F$80:$Q$136,MATCH([5]設定!$D40,[5]第３表!$C$80:$C$136,0),4),[5]設定!$H40))</f>
        <v>14.3</v>
      </c>
      <c r="I26" s="52">
        <f>IF($D26="","",IF([5]設定!$H40="",INDEX([5]第３表!$F$80:$Q$136,MATCH([5]設定!$D40,[5]第３表!$C$80:$C$136,0),5),[5]設定!$H40))</f>
        <v>20.9</v>
      </c>
      <c r="J26" s="52">
        <f>IF($D26="","",IF([5]設定!$H40="",INDEX([5]第３表!$F$80:$Q$136,MATCH([5]設定!$D40,[5]第３表!$C$80:$C$136,0),6),[5]設定!$H40))</f>
        <v>172.3</v>
      </c>
      <c r="K26" s="52">
        <f>IF($D26="","",IF([5]設定!$H40="",INDEX([5]第３表!$F$80:$Q$136,MATCH([5]設定!$D40,[5]第３表!$C$80:$C$136,0),7),[5]設定!$H40))</f>
        <v>156.1</v>
      </c>
      <c r="L26" s="55">
        <f>IF($D26="","",IF([5]設定!$H40="",INDEX([5]第３表!$F$80:$Q$136,MATCH([5]設定!$D40,[5]第３表!$C$80:$C$136,0),8),[5]設定!$H40))</f>
        <v>16.2</v>
      </c>
      <c r="M26" s="52">
        <f>IF($D26="","",IF([5]設定!$H40="",INDEX([5]第３表!$F$80:$Q$136,MATCH([5]設定!$D40,[5]第３表!$C$80:$C$136,0),9),[5]設定!$H40))</f>
        <v>20.5</v>
      </c>
      <c r="N26" s="52">
        <f>IF($D26="","",IF([5]設定!$H40="",INDEX([5]第３表!$F$80:$Q$136,MATCH([5]設定!$D40,[5]第３表!$C$80:$C$136,0),10),[5]設定!$H40))</f>
        <v>168</v>
      </c>
      <c r="O26" s="52">
        <f>IF($D26="","",IF([5]設定!$H40="",INDEX([5]第３表!$F$80:$Q$136,MATCH([5]設定!$D40,[5]第３表!$C$80:$C$136,0),11),[5]設定!$H40))</f>
        <v>154.69999999999999</v>
      </c>
      <c r="P26" s="55">
        <f>IF($D26="","",IF([5]設定!$H40="",INDEX([5]第３表!$F$80:$Q$136,MATCH([5]設定!$D40,[5]第３表!$C$80:$C$136,0),12),[5]設定!$H40))</f>
        <v>13.3</v>
      </c>
    </row>
    <row r="27" spans="2:16" s="8" customFormat="1" ht="17.25" customHeight="1" x14ac:dyDescent="0.45">
      <c r="B27" s="49" t="str">
        <f>+[6]第５表!B27</f>
        <v>E12</v>
      </c>
      <c r="C27" s="50"/>
      <c r="D27" s="65" t="str">
        <f>+[6]第５表!D27</f>
        <v>木材・木製品</v>
      </c>
      <c r="E27" s="52">
        <f>IF($D27="","",IF([5]設定!$H41="",INDEX([5]第３表!$F$80:$Q$136,MATCH([5]設定!$D41,[5]第３表!$C$80:$C$136,0),1),[5]設定!$H41))</f>
        <v>20.6</v>
      </c>
      <c r="F27" s="52">
        <f>IF($D27="","",IF([5]設定!$H41="",INDEX([5]第３表!$F$80:$Q$136,MATCH([5]設定!$D41,[5]第３表!$C$80:$C$136,0),2),[5]設定!$H41))</f>
        <v>162.5</v>
      </c>
      <c r="G27" s="52">
        <f>IF($D27="","",IF([5]設定!$H41="",INDEX([5]第３表!$F$80:$Q$136,MATCH([5]設定!$D41,[5]第３表!$C$80:$C$136,0),3),[5]設定!$H41))</f>
        <v>150.6</v>
      </c>
      <c r="H27" s="55">
        <f>IF($D27="","",IF([5]設定!$H41="",INDEX([5]第３表!$F$80:$Q$136,MATCH([5]設定!$D41,[5]第３表!$C$80:$C$136,0),4),[5]設定!$H41))</f>
        <v>11.9</v>
      </c>
      <c r="I27" s="52">
        <f>IF($D27="","",IF([5]設定!$H41="",INDEX([5]第３表!$F$80:$Q$136,MATCH([5]設定!$D41,[5]第３表!$C$80:$C$136,0),5),[5]設定!$H41))</f>
        <v>20.5</v>
      </c>
      <c r="J27" s="52">
        <f>IF($D27="","",IF([5]設定!$H41="",INDEX([5]第３表!$F$80:$Q$136,MATCH([5]設定!$D41,[5]第３表!$C$80:$C$136,0),6),[5]設定!$H41))</f>
        <v>167.5</v>
      </c>
      <c r="K27" s="52">
        <f>IF($D27="","",IF([5]設定!$H41="",INDEX([5]第３表!$F$80:$Q$136,MATCH([5]設定!$D41,[5]第３表!$C$80:$C$136,0),7),[5]設定!$H41))</f>
        <v>152.1</v>
      </c>
      <c r="L27" s="55">
        <f>IF($D27="","",IF([5]設定!$H41="",INDEX([5]第３表!$F$80:$Q$136,MATCH([5]設定!$D41,[5]第３表!$C$80:$C$136,0),8),[5]設定!$H41))</f>
        <v>15.4</v>
      </c>
      <c r="M27" s="52">
        <f>IF($D27="","",IF([5]設定!$H41="",INDEX([5]第３表!$F$80:$Q$136,MATCH([5]設定!$D41,[5]第３表!$C$80:$C$136,0),9),[5]設定!$H41))</f>
        <v>20.9</v>
      </c>
      <c r="N27" s="52">
        <f>IF($D27="","",IF([5]設定!$H41="",INDEX([5]第３表!$F$80:$Q$136,MATCH([5]設定!$D41,[5]第３表!$C$80:$C$136,0),10),[5]設定!$H41))</f>
        <v>151.9</v>
      </c>
      <c r="O27" s="52">
        <f>IF($D27="","",IF([5]設定!$H41="",INDEX([5]第３表!$F$80:$Q$136,MATCH([5]設定!$D41,[5]第３表!$C$80:$C$136,0),11),[5]設定!$H41))</f>
        <v>147.5</v>
      </c>
      <c r="P27" s="55">
        <f>IF($D27="","",IF([5]設定!$H41="",INDEX([5]第３表!$F$80:$Q$136,MATCH([5]設定!$D41,[5]第３表!$C$80:$C$136,0),12),[5]設定!$H41))</f>
        <v>4.4000000000000004</v>
      </c>
    </row>
    <row r="28" spans="2:16" s="8" customFormat="1" ht="17.25" customHeight="1" x14ac:dyDescent="0.45">
      <c r="B28" s="49" t="str">
        <f>+[6]第５表!B28</f>
        <v>E13</v>
      </c>
      <c r="C28" s="50"/>
      <c r="D28" s="65" t="str">
        <f>+[6]第５表!D28</f>
        <v>家具・装備品</v>
      </c>
      <c r="E28" s="52" t="str">
        <f>IF($D28="","",IF([5]設定!$H42="",INDEX([5]第３表!$F$80:$Q$136,MATCH([5]設定!$D42,[5]第３表!$C$80:$C$136,0),1),[5]設定!$H42))</f>
        <v>x</v>
      </c>
      <c r="F28" s="52" t="str">
        <f>IF($D28="","",IF([5]設定!$H42="",INDEX([5]第３表!$F$80:$Q$136,MATCH([5]設定!$D42,[5]第３表!$C$80:$C$136,0),2),[5]設定!$H42))</f>
        <v>x</v>
      </c>
      <c r="G28" s="52" t="str">
        <f>IF($D28="","",IF([5]設定!$H42="",INDEX([5]第３表!$F$80:$Q$136,MATCH([5]設定!$D42,[5]第３表!$C$80:$C$136,0),3),[5]設定!$H42))</f>
        <v>x</v>
      </c>
      <c r="H28" s="55" t="str">
        <f>IF($D28="","",IF([5]設定!$H42="",INDEX([5]第３表!$F$80:$Q$136,MATCH([5]設定!$D42,[5]第３表!$C$80:$C$136,0),4),[5]設定!$H42))</f>
        <v>x</v>
      </c>
      <c r="I28" s="52" t="str">
        <f>IF($D28="","",IF([5]設定!$H42="",INDEX([5]第３表!$F$80:$Q$136,MATCH([5]設定!$D42,[5]第３表!$C$80:$C$136,0),5),[5]設定!$H42))</f>
        <v>x</v>
      </c>
      <c r="J28" s="52" t="str">
        <f>IF($D28="","",IF([5]設定!$H42="",INDEX([5]第３表!$F$80:$Q$136,MATCH([5]設定!$D42,[5]第３表!$C$80:$C$136,0),6),[5]設定!$H42))</f>
        <v>x</v>
      </c>
      <c r="K28" s="52" t="str">
        <f>IF($D28="","",IF([5]設定!$H42="",INDEX([5]第３表!$F$80:$Q$136,MATCH([5]設定!$D42,[5]第３表!$C$80:$C$136,0),7),[5]設定!$H42))</f>
        <v>x</v>
      </c>
      <c r="L28" s="55" t="str">
        <f>IF($D28="","",IF([5]設定!$H42="",INDEX([5]第３表!$F$80:$Q$136,MATCH([5]設定!$D42,[5]第３表!$C$80:$C$136,0),8),[5]設定!$H42))</f>
        <v>x</v>
      </c>
      <c r="M28" s="52" t="str">
        <f>IF($D28="","",IF([5]設定!$H42="",INDEX([5]第３表!$F$80:$Q$136,MATCH([5]設定!$D42,[5]第３表!$C$80:$C$136,0),9),[5]設定!$H42))</f>
        <v>x</v>
      </c>
      <c r="N28" s="52" t="str">
        <f>IF($D28="","",IF([5]設定!$H42="",INDEX([5]第３表!$F$80:$Q$136,MATCH([5]設定!$D42,[5]第３表!$C$80:$C$136,0),10),[5]設定!$H42))</f>
        <v>x</v>
      </c>
      <c r="O28" s="52" t="str">
        <f>IF($D28="","",IF([5]設定!$H42="",INDEX([5]第３表!$F$80:$Q$136,MATCH([5]設定!$D42,[5]第３表!$C$80:$C$136,0),11),[5]設定!$H42))</f>
        <v>x</v>
      </c>
      <c r="P28" s="55" t="str">
        <f>IF($D28="","",IF([5]設定!$H42="",INDEX([5]第３表!$F$80:$Q$136,MATCH([5]設定!$D42,[5]第３表!$C$80:$C$136,0),12),[5]設定!$H42))</f>
        <v>x</v>
      </c>
    </row>
    <row r="29" spans="2:16" s="8" customFormat="1" ht="17.25" customHeight="1" x14ac:dyDescent="0.45">
      <c r="B29" s="49" t="str">
        <f>+[6]第５表!B29</f>
        <v>E15</v>
      </c>
      <c r="C29" s="50"/>
      <c r="D29" s="65" t="str">
        <f>+[6]第５表!D29</f>
        <v>印刷・同関連業</v>
      </c>
      <c r="E29" s="52">
        <f>IF($D29="","",IF([5]設定!$H43="",INDEX([5]第３表!$F$80:$Q$136,MATCH([5]設定!$D43,[5]第３表!$C$80:$C$136,0),1),[5]設定!$H43))</f>
        <v>21.7</v>
      </c>
      <c r="F29" s="52">
        <f>IF($D29="","",IF([5]設定!$H43="",INDEX([5]第３表!$F$80:$Q$136,MATCH([5]設定!$D43,[5]第３表!$C$80:$C$136,0),2),[5]設定!$H43))</f>
        <v>178.6</v>
      </c>
      <c r="G29" s="52">
        <f>IF($D29="","",IF([5]設定!$H43="",INDEX([5]第３表!$F$80:$Q$136,MATCH([5]設定!$D43,[5]第３表!$C$80:$C$136,0),3),[5]設定!$H43))</f>
        <v>167</v>
      </c>
      <c r="H29" s="55">
        <f>IF($D29="","",IF([5]設定!$H43="",INDEX([5]第３表!$F$80:$Q$136,MATCH([5]設定!$D43,[5]第３表!$C$80:$C$136,0),4),[5]設定!$H43))</f>
        <v>11.6</v>
      </c>
      <c r="I29" s="52">
        <f>IF($D29="","",IF([5]設定!$H43="",INDEX([5]第３表!$F$80:$Q$136,MATCH([5]設定!$D43,[5]第３表!$C$80:$C$136,0),5),[5]設定!$H43))</f>
        <v>21.3</v>
      </c>
      <c r="J29" s="52">
        <f>IF($D29="","",IF([5]設定!$H43="",INDEX([5]第３表!$F$80:$Q$136,MATCH([5]設定!$D43,[5]第３表!$C$80:$C$136,0),6),[5]設定!$H43))</f>
        <v>177.5</v>
      </c>
      <c r="K29" s="52">
        <f>IF($D29="","",IF([5]設定!$H43="",INDEX([5]第３表!$F$80:$Q$136,MATCH([5]設定!$D43,[5]第３表!$C$80:$C$136,0),7),[5]設定!$H43))</f>
        <v>163.9</v>
      </c>
      <c r="L29" s="55">
        <f>IF($D29="","",IF([5]設定!$H43="",INDEX([5]第３表!$F$80:$Q$136,MATCH([5]設定!$D43,[5]第３表!$C$80:$C$136,0),8),[5]設定!$H43))</f>
        <v>13.6</v>
      </c>
      <c r="M29" s="52">
        <f>IF($D29="","",IF([5]設定!$H43="",INDEX([5]第３表!$F$80:$Q$136,MATCH([5]設定!$D43,[5]第３表!$C$80:$C$136,0),9),[5]設定!$H43))</f>
        <v>22.5</v>
      </c>
      <c r="N29" s="52">
        <f>IF($D29="","",IF([5]設定!$H43="",INDEX([5]第３表!$F$80:$Q$136,MATCH([5]設定!$D43,[5]第３表!$C$80:$C$136,0),10),[5]設定!$H43))</f>
        <v>181.2</v>
      </c>
      <c r="O29" s="52">
        <f>IF($D29="","",IF([5]設定!$H43="",INDEX([5]第３表!$F$80:$Q$136,MATCH([5]設定!$D43,[5]第３表!$C$80:$C$136,0),11),[5]設定!$H43))</f>
        <v>174.2</v>
      </c>
      <c r="P29" s="55">
        <f>IF($D29="","",IF([5]設定!$H43="",INDEX([5]第３表!$F$80:$Q$136,MATCH([5]設定!$D43,[5]第３表!$C$80:$C$136,0),12),[5]設定!$H43))</f>
        <v>7</v>
      </c>
    </row>
    <row r="30" spans="2:16" s="8" customFormat="1" ht="17.25" customHeight="1" x14ac:dyDescent="0.45">
      <c r="B30" s="49" t="str">
        <f>+[6]第５表!B30</f>
        <v>E16,17</v>
      </c>
      <c r="C30" s="50"/>
      <c r="D30" s="65" t="str">
        <f>+[6]第５表!D30</f>
        <v>化学、石油・石炭</v>
      </c>
      <c r="E30" s="52">
        <f>IF($D30="","",IF([5]設定!$H44="",INDEX([5]第３表!$F$80:$Q$136,MATCH([5]設定!$D44,[5]第３表!$C$80:$C$136,0),1),[5]設定!$H44))</f>
        <v>19.899999999999999</v>
      </c>
      <c r="F30" s="52">
        <f>IF($D30="","",IF([5]設定!$H44="",INDEX([5]第３表!$F$80:$Q$136,MATCH([5]設定!$D44,[5]第３表!$C$80:$C$136,0),2),[5]設定!$H44))</f>
        <v>164</v>
      </c>
      <c r="G30" s="52">
        <f>IF($D30="","",IF([5]設定!$H44="",INDEX([5]第３表!$F$80:$Q$136,MATCH([5]設定!$D44,[5]第３表!$C$80:$C$136,0),3),[5]設定!$H44))</f>
        <v>145.9</v>
      </c>
      <c r="H30" s="55">
        <f>IF($D30="","",IF([5]設定!$H44="",INDEX([5]第３表!$F$80:$Q$136,MATCH([5]設定!$D44,[5]第３表!$C$80:$C$136,0),4),[5]設定!$H44))</f>
        <v>18.100000000000001</v>
      </c>
      <c r="I30" s="52">
        <f>IF($D30="","",IF([5]設定!$H44="",INDEX([5]第３表!$F$80:$Q$136,MATCH([5]設定!$D44,[5]第３表!$C$80:$C$136,0),5),[5]設定!$H44))</f>
        <v>20</v>
      </c>
      <c r="J30" s="52">
        <f>IF($D30="","",IF([5]設定!$H44="",INDEX([5]第３表!$F$80:$Q$136,MATCH([5]設定!$D44,[5]第３表!$C$80:$C$136,0),6),[5]設定!$H44))</f>
        <v>165.3</v>
      </c>
      <c r="K30" s="52">
        <f>IF($D30="","",IF([5]設定!$H44="",INDEX([5]第３表!$F$80:$Q$136,MATCH([5]設定!$D44,[5]第３表!$C$80:$C$136,0),7),[5]設定!$H44))</f>
        <v>146.30000000000001</v>
      </c>
      <c r="L30" s="55">
        <f>IF($D30="","",IF([5]設定!$H44="",INDEX([5]第３表!$F$80:$Q$136,MATCH([5]設定!$D44,[5]第３表!$C$80:$C$136,0),8),[5]設定!$H44))</f>
        <v>19</v>
      </c>
      <c r="M30" s="52">
        <f>IF($D30="","",IF([5]設定!$H44="",INDEX([5]第３表!$F$80:$Q$136,MATCH([5]設定!$D44,[5]第３表!$C$80:$C$136,0),9),[5]設定!$H44))</f>
        <v>18.899999999999999</v>
      </c>
      <c r="N30" s="52">
        <f>IF($D30="","",IF([5]設定!$H44="",INDEX([5]第３表!$F$80:$Q$136,MATCH([5]設定!$D44,[5]第３表!$C$80:$C$136,0),10),[5]設定!$H44))</f>
        <v>146.6</v>
      </c>
      <c r="O30" s="52">
        <f>IF($D30="","",IF([5]設定!$H44="",INDEX([5]第３表!$F$80:$Q$136,MATCH([5]設定!$D44,[5]第３表!$C$80:$C$136,0),11),[5]設定!$H44))</f>
        <v>141</v>
      </c>
      <c r="P30" s="55">
        <f>IF($D30="","",IF([5]設定!$H44="",INDEX([5]第３表!$F$80:$Q$136,MATCH([5]設定!$D44,[5]第３表!$C$80:$C$136,0),12),[5]設定!$H44))</f>
        <v>5.6</v>
      </c>
    </row>
    <row r="31" spans="2:16" s="8" customFormat="1" ht="17.25" customHeight="1" x14ac:dyDescent="0.45">
      <c r="B31" s="49" t="str">
        <f>+[6]第５表!B31</f>
        <v>E18</v>
      </c>
      <c r="C31" s="50"/>
      <c r="D31" s="65" t="str">
        <f>+[6]第５表!D31</f>
        <v>プラスチック製品</v>
      </c>
      <c r="E31" s="52">
        <f>IF($D31="","",IF([5]設定!$H45="",INDEX([5]第３表!$F$80:$Q$136,MATCH([5]設定!$D45,[5]第３表!$C$80:$C$136,0),1),[5]設定!$H45))</f>
        <v>21.1</v>
      </c>
      <c r="F31" s="52">
        <f>IF($D31="","",IF([5]設定!$H45="",INDEX([5]第３表!$F$80:$Q$136,MATCH([5]設定!$D45,[5]第３表!$C$80:$C$136,0),2),[5]設定!$H45))</f>
        <v>169.1</v>
      </c>
      <c r="G31" s="52">
        <f>IF($D31="","",IF([5]設定!$H45="",INDEX([5]第３表!$F$80:$Q$136,MATCH([5]設定!$D45,[5]第３表!$C$80:$C$136,0),3),[5]設定!$H45))</f>
        <v>157.80000000000001</v>
      </c>
      <c r="H31" s="55">
        <f>IF($D31="","",IF([5]設定!$H45="",INDEX([5]第３表!$F$80:$Q$136,MATCH([5]設定!$D45,[5]第３表!$C$80:$C$136,0),4),[5]設定!$H45))</f>
        <v>11.3</v>
      </c>
      <c r="I31" s="52">
        <f>IF($D31="","",IF([5]設定!$H45="",INDEX([5]第３表!$F$80:$Q$136,MATCH([5]設定!$D45,[5]第３表!$C$80:$C$136,0),5),[5]設定!$H45))</f>
        <v>21.4</v>
      </c>
      <c r="J31" s="52">
        <f>IF($D31="","",IF([5]設定!$H45="",INDEX([5]第３表!$F$80:$Q$136,MATCH([5]設定!$D45,[5]第３表!$C$80:$C$136,0),6),[5]設定!$H45))</f>
        <v>178.8</v>
      </c>
      <c r="K31" s="52">
        <f>IF($D31="","",IF([5]設定!$H45="",INDEX([5]第３表!$F$80:$Q$136,MATCH([5]設定!$D45,[5]第３表!$C$80:$C$136,0),7),[5]設定!$H45))</f>
        <v>164.1</v>
      </c>
      <c r="L31" s="55">
        <f>IF($D31="","",IF([5]設定!$H45="",INDEX([5]第３表!$F$80:$Q$136,MATCH([5]設定!$D45,[5]第３表!$C$80:$C$136,0),8),[5]設定!$H45))</f>
        <v>14.7</v>
      </c>
      <c r="M31" s="52">
        <f>IF($D31="","",IF([5]設定!$H45="",INDEX([5]第３表!$F$80:$Q$136,MATCH([5]設定!$D45,[5]第３表!$C$80:$C$136,0),9),[5]設定!$H45))</f>
        <v>20.100000000000001</v>
      </c>
      <c r="N31" s="52">
        <f>IF($D31="","",IF([5]設定!$H45="",INDEX([5]第３表!$F$80:$Q$136,MATCH([5]設定!$D45,[5]第３表!$C$80:$C$136,0),10),[5]設定!$H45))</f>
        <v>139.80000000000001</v>
      </c>
      <c r="O31" s="52">
        <f>IF($D31="","",IF([5]設定!$H45="",INDEX([5]第３表!$F$80:$Q$136,MATCH([5]設定!$D45,[5]第３表!$C$80:$C$136,0),11),[5]設定!$H45))</f>
        <v>138.69999999999999</v>
      </c>
      <c r="P31" s="55">
        <f>IF($D31="","",IF([5]設定!$H45="",INDEX([5]第３表!$F$80:$Q$136,MATCH([5]設定!$D45,[5]第３表!$C$80:$C$136,0),12),[5]設定!$H45))</f>
        <v>1.1000000000000001</v>
      </c>
    </row>
    <row r="32" spans="2:16" s="8" customFormat="1" ht="17.25" customHeight="1" x14ac:dyDescent="0.45">
      <c r="B32" s="49" t="str">
        <f>+[6]第５表!B32</f>
        <v>E19</v>
      </c>
      <c r="C32" s="50"/>
      <c r="D32" s="65" t="str">
        <f>+[6]第５表!D32</f>
        <v>ゴム製品</v>
      </c>
      <c r="E32" s="52">
        <f>IF($D32="","",IF([5]設定!$H46="",INDEX([5]第３表!$F$80:$Q$136,MATCH([5]設定!$D46,[5]第３表!$C$80:$C$136,0),1),[5]設定!$H46))</f>
        <v>21.1</v>
      </c>
      <c r="F32" s="52">
        <f>IF($D32="","",IF([5]設定!$H46="",INDEX([5]第３表!$F$80:$Q$136,MATCH([5]設定!$D46,[5]第３表!$C$80:$C$136,0),2),[5]設定!$H46))</f>
        <v>177.7</v>
      </c>
      <c r="G32" s="52">
        <f>IF($D32="","",IF([5]設定!$H46="",INDEX([5]第３表!$F$80:$Q$136,MATCH([5]設定!$D46,[5]第３表!$C$80:$C$136,0),3),[5]設定!$H46))</f>
        <v>154.69999999999999</v>
      </c>
      <c r="H32" s="55">
        <f>IF($D32="","",IF([5]設定!$H46="",INDEX([5]第３表!$F$80:$Q$136,MATCH([5]設定!$D46,[5]第３表!$C$80:$C$136,0),4),[5]設定!$H46))</f>
        <v>23</v>
      </c>
      <c r="I32" s="52">
        <f>IF($D32="","",IF([5]設定!$H46="",INDEX([5]第３表!$F$80:$Q$136,MATCH([5]設定!$D46,[5]第３表!$C$80:$C$136,0),5),[5]設定!$H46))</f>
        <v>21.3</v>
      </c>
      <c r="J32" s="52">
        <f>IF($D32="","",IF([5]設定!$H46="",INDEX([5]第３表!$F$80:$Q$136,MATCH([5]設定!$D46,[5]第３表!$C$80:$C$136,0),6),[5]設定!$H46))</f>
        <v>180.8</v>
      </c>
      <c r="K32" s="52">
        <f>IF($D32="","",IF([5]設定!$H46="",INDEX([5]第３表!$F$80:$Q$136,MATCH([5]設定!$D46,[5]第３表!$C$80:$C$136,0),7),[5]設定!$H46))</f>
        <v>155.5</v>
      </c>
      <c r="L32" s="55">
        <f>IF($D32="","",IF([5]設定!$H46="",INDEX([5]第３表!$F$80:$Q$136,MATCH([5]設定!$D46,[5]第３表!$C$80:$C$136,0),8),[5]設定!$H46))</f>
        <v>25.3</v>
      </c>
      <c r="M32" s="52">
        <f>IF($D32="","",IF([5]設定!$H46="",INDEX([5]第３表!$F$80:$Q$136,MATCH([5]設定!$D46,[5]第３表!$C$80:$C$136,0),9),[5]設定!$H46))</f>
        <v>19.600000000000001</v>
      </c>
      <c r="N32" s="52">
        <f>IF($D32="","",IF([5]設定!$H46="",INDEX([5]第３表!$F$80:$Q$136,MATCH([5]設定!$D46,[5]第３表!$C$80:$C$136,0),10),[5]設定!$H46))</f>
        <v>157.30000000000001</v>
      </c>
      <c r="O32" s="52">
        <f>IF($D32="","",IF([5]設定!$H46="",INDEX([5]第３表!$F$80:$Q$136,MATCH([5]設定!$D46,[5]第３表!$C$80:$C$136,0),11),[5]設定!$H46))</f>
        <v>149.69999999999999</v>
      </c>
      <c r="P32" s="55">
        <f>IF($D32="","",IF([5]設定!$H46="",INDEX([5]第３表!$F$80:$Q$136,MATCH([5]設定!$D46,[5]第３表!$C$80:$C$136,0),12),[5]設定!$H46))</f>
        <v>7.6</v>
      </c>
    </row>
    <row r="33" spans="2:17" s="8" customFormat="1" ht="17.25" customHeight="1" x14ac:dyDescent="0.45">
      <c r="B33" s="49" t="str">
        <f>+[6]第５表!B33</f>
        <v>E21</v>
      </c>
      <c r="C33" s="50"/>
      <c r="D33" s="65" t="str">
        <f>+[6]第５表!D33</f>
        <v>窯業・土石製品</v>
      </c>
      <c r="E33" s="52">
        <f>IF($D33="","",IF([5]設定!$H47="",INDEX([5]第３表!$F$80:$Q$136,MATCH([5]設定!$D47,[5]第３表!$C$80:$C$136,0),1),[5]設定!$H47))</f>
        <v>18.3</v>
      </c>
      <c r="F33" s="52">
        <f>IF($D33="","",IF([5]設定!$H47="",INDEX([5]第３表!$F$80:$Q$136,MATCH([5]設定!$D47,[5]第３表!$C$80:$C$136,0),2),[5]設定!$H47))</f>
        <v>154</v>
      </c>
      <c r="G33" s="52">
        <f>IF($D33="","",IF([5]設定!$H47="",INDEX([5]第３表!$F$80:$Q$136,MATCH([5]設定!$D47,[5]第３表!$C$80:$C$136,0),3),[5]設定!$H47))</f>
        <v>144</v>
      </c>
      <c r="H33" s="55">
        <f>IF($D33="","",IF([5]設定!$H47="",INDEX([5]第３表!$F$80:$Q$136,MATCH([5]設定!$D47,[5]第３表!$C$80:$C$136,0),4),[5]設定!$H47))</f>
        <v>10</v>
      </c>
      <c r="I33" s="52">
        <f>IF($D33="","",IF([5]設定!$H47="",INDEX([5]第３表!$F$80:$Q$136,MATCH([5]設定!$D47,[5]第３表!$C$80:$C$136,0),5),[5]設定!$H47))</f>
        <v>17.899999999999999</v>
      </c>
      <c r="J33" s="52">
        <f>IF($D33="","",IF([5]設定!$H47="",INDEX([5]第３表!$F$80:$Q$136,MATCH([5]設定!$D47,[5]第３表!$C$80:$C$136,0),6),[5]設定!$H47))</f>
        <v>154.9</v>
      </c>
      <c r="K33" s="52">
        <f>IF($D33="","",IF([5]設定!$H47="",INDEX([5]第３表!$F$80:$Q$136,MATCH([5]設定!$D47,[5]第３表!$C$80:$C$136,0),7),[5]設定!$H47))</f>
        <v>142.1</v>
      </c>
      <c r="L33" s="55">
        <f>IF($D33="","",IF([5]設定!$H47="",INDEX([5]第３表!$F$80:$Q$136,MATCH([5]設定!$D47,[5]第３表!$C$80:$C$136,0),8),[5]設定!$H47))</f>
        <v>12.8</v>
      </c>
      <c r="M33" s="52">
        <f>IF($D33="","",IF([5]設定!$H47="",INDEX([5]第３表!$F$80:$Q$136,MATCH([5]設定!$D47,[5]第３表!$C$80:$C$136,0),9),[5]設定!$H47))</f>
        <v>19.7</v>
      </c>
      <c r="N33" s="52">
        <f>IF($D33="","",IF([5]設定!$H47="",INDEX([5]第３表!$F$80:$Q$136,MATCH([5]設定!$D47,[5]第３表!$C$80:$C$136,0),10),[5]設定!$H47))</f>
        <v>150.9</v>
      </c>
      <c r="O33" s="52">
        <f>IF($D33="","",IF([5]設定!$H47="",INDEX([5]第３表!$F$80:$Q$136,MATCH([5]設定!$D47,[5]第３表!$C$80:$C$136,0),11),[5]設定!$H47))</f>
        <v>149.9</v>
      </c>
      <c r="P33" s="55">
        <f>IF($D33="","",IF([5]設定!$H47="",INDEX([5]第３表!$F$80:$Q$136,MATCH([5]設定!$D47,[5]第３表!$C$80:$C$136,0),12),[5]設定!$H47))</f>
        <v>1</v>
      </c>
    </row>
    <row r="34" spans="2:17" s="8" customFormat="1" ht="17.25" customHeight="1" x14ac:dyDescent="0.45">
      <c r="B34" s="49" t="str">
        <f>+[6]第５表!B34</f>
        <v>E24</v>
      </c>
      <c r="C34" s="50"/>
      <c r="D34" s="65" t="str">
        <f>+[6]第５表!D34</f>
        <v>金属製品製造業</v>
      </c>
      <c r="E34" s="55">
        <f>IF($D34="","",IF([5]設定!$H48="",INDEX([5]第３表!$F$80:$Q$136,MATCH([5]設定!$D48,[5]第３表!$C$80:$C$136,0),1),[5]設定!$H48))</f>
        <v>20.6</v>
      </c>
      <c r="F34" s="55">
        <f>IF($D34="","",IF([5]設定!$H48="",INDEX([5]第３表!$F$80:$Q$136,MATCH([5]設定!$D48,[5]第３表!$C$80:$C$136,0),2),[5]設定!$H48))</f>
        <v>166</v>
      </c>
      <c r="G34" s="55">
        <f>IF($D34="","",IF([5]設定!$H48="",INDEX([5]第３表!$F$80:$Q$136,MATCH([5]設定!$D48,[5]第３表!$C$80:$C$136,0),3),[5]設定!$H48))</f>
        <v>151.19999999999999</v>
      </c>
      <c r="H34" s="55">
        <f>IF($D34="","",IF([5]設定!$H48="",INDEX([5]第３表!$F$80:$Q$136,MATCH([5]設定!$D48,[5]第３表!$C$80:$C$136,0),4),[5]設定!$H48))</f>
        <v>14.8</v>
      </c>
      <c r="I34" s="55">
        <f>IF($D34="","",IF([5]設定!$H48="",INDEX([5]第３表!$F$80:$Q$136,MATCH([5]設定!$D48,[5]第３表!$C$80:$C$136,0),5),[5]設定!$H48))</f>
        <v>20.100000000000001</v>
      </c>
      <c r="J34" s="55">
        <f>IF($D34="","",IF([5]設定!$H48="",INDEX([5]第３表!$F$80:$Q$136,MATCH([5]設定!$D48,[5]第３表!$C$80:$C$136,0),6),[5]設定!$H48))</f>
        <v>171.7</v>
      </c>
      <c r="K34" s="55">
        <f>IF($D34="","",IF([5]設定!$H48="",INDEX([5]第３表!$F$80:$Q$136,MATCH([5]設定!$D48,[5]第３表!$C$80:$C$136,0),7),[5]設定!$H48))</f>
        <v>152.1</v>
      </c>
      <c r="L34" s="55">
        <f>IF($D34="","",IF([5]設定!$H48="",INDEX([5]第３表!$F$80:$Q$136,MATCH([5]設定!$D48,[5]第３表!$C$80:$C$136,0),8),[5]設定!$H48))</f>
        <v>19.600000000000001</v>
      </c>
      <c r="M34" s="55">
        <f>IF($D34="","",IF([5]設定!$H48="",INDEX([5]第３表!$F$80:$Q$136,MATCH([5]設定!$D48,[5]第３表!$C$80:$C$136,0),9),[5]設定!$H48))</f>
        <v>21.7</v>
      </c>
      <c r="N34" s="55">
        <f>IF($D34="","",IF([5]設定!$H48="",INDEX([5]第３表!$F$80:$Q$136,MATCH([5]設定!$D48,[5]第３表!$C$80:$C$136,0),10),[5]設定!$H48))</f>
        <v>154.69999999999999</v>
      </c>
      <c r="O34" s="55">
        <f>IF($D34="","",IF([5]設定!$H48="",INDEX([5]第３表!$F$80:$Q$136,MATCH([5]設定!$D48,[5]第３表!$C$80:$C$136,0),11),[5]設定!$H48))</f>
        <v>149.5</v>
      </c>
      <c r="P34" s="55">
        <f>IF($D34="","",IF([5]設定!$H48="",INDEX([5]第３表!$F$80:$Q$136,MATCH([5]設定!$D48,[5]第３表!$C$80:$C$136,0),12),[5]設定!$H48))</f>
        <v>5.2</v>
      </c>
    </row>
    <row r="35" spans="2:17" s="8" customFormat="1" ht="17.25" customHeight="1" x14ac:dyDescent="0.45">
      <c r="B35" s="49" t="str">
        <f>+[6]第５表!B35</f>
        <v>E27</v>
      </c>
      <c r="C35" s="50"/>
      <c r="D35" s="65" t="str">
        <f>+[6]第５表!D35</f>
        <v>業務用機械器具</v>
      </c>
      <c r="E35" s="55">
        <f>IF($D35="","",IF([5]設定!$H49="",INDEX([5]第３表!$F$80:$Q$136,MATCH([5]設定!$D49,[5]第３表!$C$80:$C$136,0),1),[5]設定!$H49))</f>
        <v>18.5</v>
      </c>
      <c r="F35" s="55">
        <f>IF($D35="","",IF([5]設定!$H49="",INDEX([5]第３表!$F$80:$Q$136,MATCH([5]設定!$D49,[5]第３表!$C$80:$C$136,0),2),[5]設定!$H49))</f>
        <v>153.80000000000001</v>
      </c>
      <c r="G35" s="55">
        <f>IF($D35="","",IF([5]設定!$H49="",INDEX([5]第３表!$F$80:$Q$136,MATCH([5]設定!$D49,[5]第３表!$C$80:$C$136,0),3),[5]設定!$H49))</f>
        <v>145.19999999999999</v>
      </c>
      <c r="H35" s="55">
        <f>IF($D35="","",IF([5]設定!$H49="",INDEX([5]第３表!$F$80:$Q$136,MATCH([5]設定!$D49,[5]第３表!$C$80:$C$136,0),4),[5]設定!$H49))</f>
        <v>8.6</v>
      </c>
      <c r="I35" s="55">
        <f>IF($D35="","",IF([5]設定!$H49="",INDEX([5]第３表!$F$80:$Q$136,MATCH([5]設定!$D49,[5]第３表!$C$80:$C$136,0),5),[5]設定!$H49))</f>
        <v>19.3</v>
      </c>
      <c r="J35" s="55">
        <f>IF($D35="","",IF([5]設定!$H49="",INDEX([5]第３表!$F$80:$Q$136,MATCH([5]設定!$D49,[5]第３表!$C$80:$C$136,0),6),[5]設定!$H49))</f>
        <v>161.4</v>
      </c>
      <c r="K35" s="55">
        <f>IF($D35="","",IF([5]設定!$H49="",INDEX([5]第３表!$F$80:$Q$136,MATCH([5]設定!$D49,[5]第３表!$C$80:$C$136,0),7),[5]設定!$H49))</f>
        <v>149.9</v>
      </c>
      <c r="L35" s="55">
        <f>IF($D35="","",IF([5]設定!$H49="",INDEX([5]第３表!$F$80:$Q$136,MATCH([5]設定!$D49,[5]第３表!$C$80:$C$136,0),8),[5]設定!$H49))</f>
        <v>11.5</v>
      </c>
      <c r="M35" s="55">
        <f>IF($D35="","",IF([5]設定!$H49="",INDEX([5]第３表!$F$80:$Q$136,MATCH([5]設定!$D49,[5]第３表!$C$80:$C$136,0),9),[5]設定!$H49))</f>
        <v>17.600000000000001</v>
      </c>
      <c r="N35" s="55">
        <f>IF($D35="","",IF([5]設定!$H49="",INDEX([5]第３表!$F$80:$Q$136,MATCH([5]設定!$D49,[5]第３表!$C$80:$C$136,0),10),[5]設定!$H49))</f>
        <v>146.69999999999999</v>
      </c>
      <c r="O35" s="55">
        <f>IF($D35="","",IF([5]設定!$H49="",INDEX([5]第３表!$F$80:$Q$136,MATCH([5]設定!$D49,[5]第３表!$C$80:$C$136,0),11),[5]設定!$H49))</f>
        <v>140.80000000000001</v>
      </c>
      <c r="P35" s="55">
        <f>IF($D35="","",IF([5]設定!$H49="",INDEX([5]第３表!$F$80:$Q$136,MATCH([5]設定!$D49,[5]第３表!$C$80:$C$136,0),12),[5]設定!$H49))</f>
        <v>5.9</v>
      </c>
    </row>
    <row r="36" spans="2:17" s="8" customFormat="1" ht="17.25" customHeight="1" x14ac:dyDescent="0.45">
      <c r="B36" s="49" t="str">
        <f>+[6]第５表!B36</f>
        <v>E28</v>
      </c>
      <c r="C36" s="50"/>
      <c r="D36" s="65" t="str">
        <f>+[6]第５表!D36</f>
        <v>電子・デバイス</v>
      </c>
      <c r="E36" s="55">
        <f>IF($D36="","",IF([5]設定!$H50="",INDEX([5]第３表!$F$80:$Q$136,MATCH([5]設定!$D50,[5]第３表!$C$80:$C$136,0),1),[5]設定!$H50))</f>
        <v>19.100000000000001</v>
      </c>
      <c r="F36" s="55">
        <f>IF($D36="","",IF([5]設定!$H50="",INDEX([5]第３表!$F$80:$Q$136,MATCH([5]設定!$D50,[5]第３表!$C$80:$C$136,0),2),[5]設定!$H50))</f>
        <v>163</v>
      </c>
      <c r="G36" s="55">
        <f>IF($D36="","",IF([5]設定!$H50="",INDEX([5]第３表!$F$80:$Q$136,MATCH([5]設定!$D50,[5]第３表!$C$80:$C$136,0),3),[5]設定!$H50))</f>
        <v>148.80000000000001</v>
      </c>
      <c r="H36" s="55">
        <f>IF($D36="","",IF([5]設定!$H50="",INDEX([5]第３表!$F$80:$Q$136,MATCH([5]設定!$D50,[5]第３表!$C$80:$C$136,0),4),[5]設定!$H50))</f>
        <v>14.2</v>
      </c>
      <c r="I36" s="55">
        <f>IF($D36="","",IF([5]設定!$H50="",INDEX([5]第３表!$F$80:$Q$136,MATCH([5]設定!$D50,[5]第３表!$C$80:$C$136,0),5),[5]設定!$H50))</f>
        <v>19.3</v>
      </c>
      <c r="J36" s="55">
        <f>IF($D36="","",IF([5]設定!$H50="",INDEX([5]第３表!$F$80:$Q$136,MATCH([5]設定!$D50,[5]第３表!$C$80:$C$136,0),6),[5]設定!$H50))</f>
        <v>170.8</v>
      </c>
      <c r="K36" s="55">
        <f>IF($D36="","",IF([5]設定!$H50="",INDEX([5]第３表!$F$80:$Q$136,MATCH([5]設定!$D50,[5]第３表!$C$80:$C$136,0),7),[5]設定!$H50))</f>
        <v>152.80000000000001</v>
      </c>
      <c r="L36" s="55">
        <f>IF($D36="","",IF([5]設定!$H50="",INDEX([5]第３表!$F$80:$Q$136,MATCH([5]設定!$D50,[5]第３表!$C$80:$C$136,0),8),[5]設定!$H50))</f>
        <v>18</v>
      </c>
      <c r="M36" s="55">
        <f>IF($D36="","",IF([5]設定!$H50="",INDEX([5]第３表!$F$80:$Q$136,MATCH([5]設定!$D50,[5]第３表!$C$80:$C$136,0),9),[5]設定!$H50))</f>
        <v>18.600000000000001</v>
      </c>
      <c r="N36" s="55">
        <f>IF($D36="","",IF([5]設定!$H50="",INDEX([5]第３表!$F$80:$Q$136,MATCH([5]設定!$D50,[5]第３表!$C$80:$C$136,0),10),[5]設定!$H50))</f>
        <v>147.69999999999999</v>
      </c>
      <c r="O36" s="55">
        <f>IF($D36="","",IF([5]設定!$H50="",INDEX([5]第３表!$F$80:$Q$136,MATCH([5]設定!$D50,[5]第３表!$C$80:$C$136,0),11),[5]設定!$H50))</f>
        <v>140.9</v>
      </c>
      <c r="P36" s="55">
        <f>IF($D36="","",IF([5]設定!$H50="",INDEX([5]第３表!$F$80:$Q$136,MATCH([5]設定!$D50,[5]第３表!$C$80:$C$136,0),12),[5]設定!$H50))</f>
        <v>6.8</v>
      </c>
    </row>
    <row r="37" spans="2:17" s="8" customFormat="1" ht="17.25" customHeight="1" x14ac:dyDescent="0.45">
      <c r="B37" s="49" t="str">
        <f>+[6]第５表!B37</f>
        <v>E29</v>
      </c>
      <c r="C37" s="50"/>
      <c r="D37" s="65" t="str">
        <f>+[6]第５表!D37</f>
        <v>電気機械器具</v>
      </c>
      <c r="E37" s="55">
        <f>IF($D37="","",IF([5]設定!$H51="",INDEX([5]第３表!$F$80:$Q$136,MATCH([5]設定!$D51,[5]第３表!$C$80:$C$136,0),1),[5]設定!$H51))</f>
        <v>19.3</v>
      </c>
      <c r="F37" s="55">
        <f>IF($D37="","",IF([5]設定!$H51="",INDEX([5]第３表!$F$80:$Q$136,MATCH([5]設定!$D51,[5]第３表!$C$80:$C$136,0),2),[5]設定!$H51))</f>
        <v>158.30000000000001</v>
      </c>
      <c r="G37" s="55">
        <f>IF($D37="","",IF([5]設定!$H51="",INDEX([5]第３表!$F$80:$Q$136,MATCH([5]設定!$D51,[5]第３表!$C$80:$C$136,0),3),[5]設定!$H51))</f>
        <v>146.80000000000001</v>
      </c>
      <c r="H37" s="55">
        <f>IF($D37="","",IF([5]設定!$H51="",INDEX([5]第３表!$F$80:$Q$136,MATCH([5]設定!$D51,[5]第３表!$C$80:$C$136,0),4),[5]設定!$H51))</f>
        <v>11.5</v>
      </c>
      <c r="I37" s="55">
        <f>IF($D37="","",IF([5]設定!$H51="",INDEX([5]第３表!$F$80:$Q$136,MATCH([5]設定!$D51,[5]第３表!$C$80:$C$136,0),5),[5]設定!$H51))</f>
        <v>19.399999999999999</v>
      </c>
      <c r="J37" s="55">
        <f>IF($D37="","",IF([5]設定!$H51="",INDEX([5]第３表!$F$80:$Q$136,MATCH([5]設定!$D51,[5]第３表!$C$80:$C$136,0),6),[5]設定!$H51))</f>
        <v>164.3</v>
      </c>
      <c r="K37" s="55">
        <f>IF($D37="","",IF([5]設定!$H51="",INDEX([5]第３表!$F$80:$Q$136,MATCH([5]設定!$D51,[5]第３表!$C$80:$C$136,0),7),[5]設定!$H51))</f>
        <v>149.30000000000001</v>
      </c>
      <c r="L37" s="55">
        <f>IF($D37="","",IF([5]設定!$H51="",INDEX([5]第３表!$F$80:$Q$136,MATCH([5]設定!$D51,[5]第３表!$C$80:$C$136,0),8),[5]設定!$H51))</f>
        <v>15</v>
      </c>
      <c r="M37" s="55">
        <f>IF($D37="","",IF([5]設定!$H51="",INDEX([5]第３表!$F$80:$Q$136,MATCH([5]設定!$D51,[5]第３表!$C$80:$C$136,0),9),[5]設定!$H51))</f>
        <v>19</v>
      </c>
      <c r="N37" s="55">
        <f>IF($D37="","",IF([5]設定!$H51="",INDEX([5]第３表!$F$80:$Q$136,MATCH([5]設定!$D51,[5]第３表!$C$80:$C$136,0),10),[5]設定!$H51))</f>
        <v>145.6</v>
      </c>
      <c r="O37" s="55">
        <f>IF($D37="","",IF([5]設定!$H51="",INDEX([5]第３表!$F$80:$Q$136,MATCH([5]設定!$D51,[5]第３表!$C$80:$C$136,0),11),[5]設定!$H51))</f>
        <v>141.5</v>
      </c>
      <c r="P37" s="55">
        <f>IF($D37="","",IF([5]設定!$H51="",INDEX([5]第３表!$F$80:$Q$136,MATCH([5]設定!$D51,[5]第３表!$C$80:$C$136,0),12),[5]設定!$H51))</f>
        <v>4.0999999999999996</v>
      </c>
    </row>
    <row r="38" spans="2:17" s="8" customFormat="1" ht="17.25" customHeight="1" x14ac:dyDescent="0.45">
      <c r="B38" s="49" t="str">
        <f>+[6]第５表!B38</f>
        <v>E31</v>
      </c>
      <c r="C38" s="50"/>
      <c r="D38" s="65" t="str">
        <f>+[6]第５表!D38</f>
        <v>輸送用機械器具</v>
      </c>
      <c r="E38" s="55">
        <f>IF($D38="","",IF([5]設定!$H52="",INDEX([5]第３表!$F$80:$Q$136,MATCH([5]設定!$D52,[5]第３表!$C$80:$C$136,0),1),[5]設定!$H52))</f>
        <v>20.8</v>
      </c>
      <c r="F38" s="55">
        <f>IF($D38="","",IF([5]設定!$H52="",INDEX([5]第３表!$F$80:$Q$136,MATCH([5]設定!$D52,[5]第３表!$C$80:$C$136,0),2),[5]設定!$H52))</f>
        <v>190.8</v>
      </c>
      <c r="G38" s="55">
        <f>IF($D38="","",IF([5]設定!$H52="",INDEX([5]第３表!$F$80:$Q$136,MATCH([5]設定!$D52,[5]第３表!$C$80:$C$136,0),3),[5]設定!$H52))</f>
        <v>168.4</v>
      </c>
      <c r="H38" s="55">
        <f>IF($D38="","",IF([5]設定!$H52="",INDEX([5]第３表!$F$80:$Q$136,MATCH([5]設定!$D52,[5]第３表!$C$80:$C$136,0),4),[5]設定!$H52))</f>
        <v>22.4</v>
      </c>
      <c r="I38" s="55">
        <f>IF($D38="","",IF([5]設定!$H52="",INDEX([5]第３表!$F$80:$Q$136,MATCH([5]設定!$D52,[5]第３表!$C$80:$C$136,0),5),[5]設定!$H52))</f>
        <v>20.9</v>
      </c>
      <c r="J38" s="55">
        <f>IF($D38="","",IF([5]設定!$H52="",INDEX([5]第３表!$F$80:$Q$136,MATCH([5]設定!$D52,[5]第３表!$C$80:$C$136,0),6),[5]設定!$H52))</f>
        <v>194.4</v>
      </c>
      <c r="K38" s="55">
        <f>IF($D38="","",IF([5]設定!$H52="",INDEX([5]第３表!$F$80:$Q$136,MATCH([5]設定!$D52,[5]第３表!$C$80:$C$136,0),7),[5]設定!$H52))</f>
        <v>169.7</v>
      </c>
      <c r="L38" s="55">
        <f>IF($D38="","",IF([5]設定!$H52="",INDEX([5]第３表!$F$80:$Q$136,MATCH([5]設定!$D52,[5]第３表!$C$80:$C$136,0),8),[5]設定!$H52))</f>
        <v>24.7</v>
      </c>
      <c r="M38" s="55">
        <f>IF($D38="","",IF([5]設定!$H52="",INDEX([5]第３表!$F$80:$Q$136,MATCH([5]設定!$D52,[5]第３表!$C$80:$C$136,0),9),[5]設定!$H52))</f>
        <v>20.7</v>
      </c>
      <c r="N38" s="55">
        <f>IF($D38="","",IF([5]設定!$H52="",INDEX([5]第３表!$F$80:$Q$136,MATCH([5]設定!$D52,[5]第３表!$C$80:$C$136,0),10),[5]設定!$H52))</f>
        <v>175.2</v>
      </c>
      <c r="O38" s="55">
        <f>IF($D38="","",IF([5]設定!$H52="",INDEX([5]第３表!$F$80:$Q$136,MATCH([5]設定!$D52,[5]第３表!$C$80:$C$136,0),11),[5]設定!$H52))</f>
        <v>162.5</v>
      </c>
      <c r="P38" s="55">
        <f>IF($D38="","",IF([5]設定!$H52="",INDEX([5]第３表!$F$80:$Q$136,MATCH([5]設定!$D52,[5]第３表!$C$80:$C$136,0),12),[5]設定!$H52))</f>
        <v>12.7</v>
      </c>
    </row>
    <row r="39" spans="2:17" s="8" customFormat="1" ht="17.25" customHeight="1" x14ac:dyDescent="0.45">
      <c r="B39" s="66" t="str">
        <f>+[6]第５表!B39</f>
        <v>ES</v>
      </c>
      <c r="C39" s="67"/>
      <c r="D39" s="68" t="str">
        <f>+[6]第５表!D39</f>
        <v>はん用・生産用機械器具</v>
      </c>
      <c r="E39" s="69">
        <f>IF($D39="","",IF([5]設定!$H53="",INDEX([5]第３表!$F$80:$Q$136,MATCH([5]設定!$D53,[5]第３表!$C$80:$C$136,0),1),[5]設定!$H53))</f>
        <v>19.7</v>
      </c>
      <c r="F39" s="69">
        <f>IF($D39="","",IF([5]設定!$H53="",INDEX([5]第３表!$F$80:$Q$136,MATCH([5]設定!$D53,[5]第３表!$C$80:$C$136,0),2),[5]設定!$H53))</f>
        <v>172.2</v>
      </c>
      <c r="G39" s="69">
        <f>IF($D39="","",IF([5]設定!$H53="",INDEX([5]第３表!$F$80:$Q$136,MATCH([5]設定!$D53,[5]第３表!$C$80:$C$136,0),3),[5]設定!$H53))</f>
        <v>153.4</v>
      </c>
      <c r="H39" s="69">
        <f>IF($D39="","",IF([5]設定!$H53="",INDEX([5]第３表!$F$80:$Q$136,MATCH([5]設定!$D53,[5]第３表!$C$80:$C$136,0),4),[5]設定!$H53))</f>
        <v>18.8</v>
      </c>
      <c r="I39" s="69">
        <f>IF($D39="","",IF([5]設定!$H53="",INDEX([5]第３表!$F$80:$Q$136,MATCH([5]設定!$D53,[5]第３表!$C$80:$C$136,0),5),[5]設定!$H53))</f>
        <v>20.3</v>
      </c>
      <c r="J39" s="69">
        <f>IF($D39="","",IF([5]設定!$H53="",INDEX([5]第３表!$F$80:$Q$136,MATCH([5]設定!$D53,[5]第３表!$C$80:$C$136,0),6),[5]設定!$H53))</f>
        <v>180.6</v>
      </c>
      <c r="K39" s="69">
        <f>IF($D39="","",IF([5]設定!$H53="",INDEX([5]第３表!$F$80:$Q$136,MATCH([5]設定!$D53,[5]第３表!$C$80:$C$136,0),7),[5]設定!$H53))</f>
        <v>155.69999999999999</v>
      </c>
      <c r="L39" s="69">
        <f>IF($D39="","",IF([5]設定!$H53="",INDEX([5]第３表!$F$80:$Q$136,MATCH([5]設定!$D53,[5]第３表!$C$80:$C$136,0),8),[5]設定!$H53))</f>
        <v>24.9</v>
      </c>
      <c r="M39" s="69">
        <f>IF($D39="","",IF([5]設定!$H53="",INDEX([5]第３表!$F$80:$Q$136,MATCH([5]設定!$D53,[5]第３表!$C$80:$C$136,0),9),[5]設定!$H53))</f>
        <v>18.5</v>
      </c>
      <c r="N39" s="69">
        <f>IF($D39="","",IF([5]設定!$H53="",INDEX([5]第３表!$F$80:$Q$136,MATCH([5]設定!$D53,[5]第３表!$C$80:$C$136,0),10),[5]設定!$H53))</f>
        <v>154.4</v>
      </c>
      <c r="O39" s="69">
        <f>IF($D39="","",IF([5]設定!$H53="",INDEX([5]第３表!$F$80:$Q$136,MATCH([5]設定!$D53,[5]第３表!$C$80:$C$136,0),11),[5]設定!$H53))</f>
        <v>148.6</v>
      </c>
      <c r="P39" s="69">
        <f>IF($D39="","",IF([5]設定!$H53="",INDEX([5]第３表!$F$80:$Q$136,MATCH([5]設定!$D53,[5]第３表!$C$80:$C$136,0),12),[5]設定!$H53))</f>
        <v>5.8</v>
      </c>
    </row>
    <row r="40" spans="2:17" s="8" customFormat="1" ht="16.2" customHeight="1" x14ac:dyDescent="0.45">
      <c r="B40" s="70" t="str">
        <f>+[6]第５表!B40</f>
        <v>R91</v>
      </c>
      <c r="C40" s="71"/>
      <c r="D40" s="72" t="str">
        <f>+[6]第５表!D40</f>
        <v>職業紹介・労働者派遣業</v>
      </c>
      <c r="E40" s="73">
        <f>IF($D40="","",IF([5]設定!$H54="",INDEX([5]第３表!$F$80:$Q$136,MATCH([5]設定!$D54,[5]第３表!$C$80:$C$136,0),1),[5]設定!$H54))</f>
        <v>19.8</v>
      </c>
      <c r="F40" s="73">
        <f>IF($D40="","",IF([5]設定!$H54="",INDEX([5]第３表!$F$80:$Q$136,MATCH([5]設定!$D54,[5]第３表!$C$80:$C$136,0),2),[5]設定!$H54))</f>
        <v>164.9</v>
      </c>
      <c r="G40" s="73">
        <f>IF($D40="","",IF([5]設定!$H54="",INDEX([5]第３表!$F$80:$Q$136,MATCH([5]設定!$D54,[5]第３表!$C$80:$C$136,0),3),[5]設定!$H54))</f>
        <v>155.30000000000001</v>
      </c>
      <c r="H40" s="73">
        <f>IF($D40="","",IF([5]設定!$H54="",INDEX([5]第３表!$F$80:$Q$136,MATCH([5]設定!$D54,[5]第３表!$C$80:$C$136,0),4),[5]設定!$H54))</f>
        <v>9.6</v>
      </c>
      <c r="I40" s="73">
        <f>IF($D40="","",IF([5]設定!$H54="",INDEX([5]第３表!$F$80:$Q$136,MATCH([5]設定!$D54,[5]第３表!$C$80:$C$136,0),5),[5]設定!$H54))</f>
        <v>20.399999999999999</v>
      </c>
      <c r="J40" s="73">
        <f>IF($D40="","",IF([5]設定!$H54="",INDEX([5]第３表!$F$80:$Q$136,MATCH([5]設定!$D54,[5]第３表!$C$80:$C$136,0),6),[5]設定!$H54))</f>
        <v>180.5</v>
      </c>
      <c r="K40" s="73">
        <f>IF($D40="","",IF([5]設定!$H54="",INDEX([5]第３表!$F$80:$Q$136,MATCH([5]設定!$D54,[5]第３表!$C$80:$C$136,0),7),[5]設定!$H54))</f>
        <v>166.2</v>
      </c>
      <c r="L40" s="73">
        <f>IF($D40="","",IF([5]設定!$H54="",INDEX([5]第３表!$F$80:$Q$136,MATCH([5]設定!$D54,[5]第３表!$C$80:$C$136,0),8),[5]設定!$H54))</f>
        <v>14.3</v>
      </c>
      <c r="M40" s="73">
        <f>IF($D40="","",IF([5]設定!$H54="",INDEX([5]第３表!$F$80:$Q$136,MATCH([5]設定!$D54,[5]第３表!$C$80:$C$136,0),9),[5]設定!$H54))</f>
        <v>19.3</v>
      </c>
      <c r="N40" s="73">
        <f>IF($D40="","",IF([5]設定!$H54="",INDEX([5]第３表!$F$80:$Q$136,MATCH([5]設定!$D54,[5]第３表!$C$80:$C$136,0),10),[5]設定!$H54))</f>
        <v>150.69999999999999</v>
      </c>
      <c r="O40" s="73">
        <f>IF($D40="","",IF([5]設定!$H54="",INDEX([5]第３表!$F$80:$Q$136,MATCH([5]設定!$D54,[5]第３表!$C$80:$C$136,0),11),[5]設定!$H54))</f>
        <v>145.4</v>
      </c>
      <c r="P40" s="73">
        <f>IF($D40="","",IF([5]設定!$H54="",INDEX([5]第３表!$F$80:$Q$136,MATCH([5]設定!$D54,[5]第３表!$C$80:$C$136,0),12),[5]設定!$H54))</f>
        <v>5.3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IF($D47="","",IF([5]設定!$I23="",INDEX([5]第３表!$F$10:$Q$66,MATCH([5]設定!$D23,[5]第３表!$C$10:$C$66,0),1),[5]設定!$I23))</f>
        <v>18.899999999999999</v>
      </c>
      <c r="F47" s="48">
        <f>IF($D47="","",IF([5]設定!$I23="",INDEX([5]第３表!$F$10:$Q$66,MATCH([5]設定!$D23,[5]第３表!$C$10:$C$66,0),2),[5]設定!$I23))</f>
        <v>146.5</v>
      </c>
      <c r="G47" s="48">
        <f>IF($D47="","",IF([5]設定!$I23="",INDEX([5]第３表!$F$10:$Q$66,MATCH([5]設定!$D23,[5]第３表!$C$10:$C$66,0),3),[5]設定!$I23))</f>
        <v>135.80000000000001</v>
      </c>
      <c r="H47" s="48">
        <f>IF($D47="","",IF([5]設定!$I23="",INDEX([5]第３表!$F$10:$Q$66,MATCH([5]設定!$D23,[5]第３表!$C$10:$C$66,0),4),[5]設定!$I23))</f>
        <v>10.7</v>
      </c>
      <c r="I47" s="48">
        <f>IF($D47="","",IF([5]設定!$I23="",INDEX([5]第３表!$F$10:$Q$66,MATCH([5]設定!$D23,[5]第３表!$C$10:$C$66,0),5),[5]設定!$I23))</f>
        <v>19.600000000000001</v>
      </c>
      <c r="J47" s="48">
        <f>IF($D47="","",IF([5]設定!$I23="",INDEX([5]第３表!$F$10:$Q$66,MATCH([5]設定!$D23,[5]第３表!$C$10:$C$66,0),6),[5]設定!$I23))</f>
        <v>161.5</v>
      </c>
      <c r="K47" s="48">
        <f>IF($D47="","",IF([5]設定!$I23="",INDEX([5]第３表!$F$10:$Q$66,MATCH([5]設定!$D23,[5]第３表!$C$10:$C$66,0),7),[5]設定!$I23))</f>
        <v>145.6</v>
      </c>
      <c r="L47" s="48">
        <f>IF($D47="","",IF([5]設定!$I23="",INDEX([5]第３表!$F$10:$Q$66,MATCH([5]設定!$D23,[5]第３表!$C$10:$C$66,0),8),[5]設定!$I23))</f>
        <v>15.9</v>
      </c>
      <c r="M47" s="48">
        <f>IF($D47="","",IF([5]設定!$I23="",INDEX([5]第３表!$F$10:$Q$66,MATCH([5]設定!$D23,[5]第３表!$C$10:$C$66,0),9),[5]設定!$I23))</f>
        <v>18.3</v>
      </c>
      <c r="N47" s="48">
        <f>IF($D47="","",IF([5]設定!$I23="",INDEX([5]第３表!$F$10:$Q$66,MATCH([5]設定!$D23,[5]第３表!$C$10:$C$66,0),10),[5]設定!$I23))</f>
        <v>132.6</v>
      </c>
      <c r="O47" s="48">
        <f>IF($D47="","",IF([5]設定!$I23="",INDEX([5]第３表!$F$10:$Q$66,MATCH([5]設定!$D23,[5]第３表!$C$10:$C$66,0),11),[5]設定!$I23))</f>
        <v>126.7</v>
      </c>
      <c r="P47" s="48">
        <f>IF($D47="","",IF([5]設定!$I23="",INDEX([5]第３表!$F$10:$Q$66,MATCH([5]設定!$D23,[5]第３表!$C$10:$C$66,0),12),[5]設定!$I23))</f>
        <v>5.9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IF($D48="","",IF([5]設定!$I24="",INDEX([5]第３表!$F$10:$Q$66,MATCH([5]設定!$D24,[5]第３表!$C$10:$C$66,0),1),[5]設定!$I24))</f>
        <v>20.5</v>
      </c>
      <c r="F48" s="52">
        <f>IF($D48="","",IF([5]設定!$I24="",INDEX([5]第３表!$F$10:$Q$66,MATCH([5]設定!$D24,[5]第３表!$C$10:$C$66,0),2),[5]設定!$I24))</f>
        <v>164.2</v>
      </c>
      <c r="G48" s="52">
        <f>IF($D48="","",IF([5]設定!$I24="",INDEX([5]第３表!$F$10:$Q$66,MATCH([5]設定!$D24,[5]第３表!$C$10:$C$66,0),3),[5]設定!$I24))</f>
        <v>151.69999999999999</v>
      </c>
      <c r="H48" s="53">
        <f>IF($D48="","",IF([5]設定!$I24="",INDEX([5]第３表!$F$10:$Q$66,MATCH([5]設定!$D24,[5]第３表!$C$10:$C$66,0),4),[5]設定!$I24))</f>
        <v>12.5</v>
      </c>
      <c r="I48" s="54">
        <f>IF($D48="","",IF([5]設定!$I24="",INDEX([5]第３表!$F$10:$Q$66,MATCH([5]設定!$D24,[5]第３表!$C$10:$C$66,0),5),[5]設定!$I24))</f>
        <v>20.8</v>
      </c>
      <c r="J48" s="54">
        <f>IF($D48="","",IF([5]設定!$I24="",INDEX([5]第３表!$F$10:$Q$66,MATCH([5]設定!$D24,[5]第３表!$C$10:$C$66,0),6),[5]設定!$I24))</f>
        <v>169.3</v>
      </c>
      <c r="K48" s="54">
        <f>IF($D48="","",IF([5]設定!$I24="",INDEX([5]第３表!$F$10:$Q$66,MATCH([5]設定!$D24,[5]第３表!$C$10:$C$66,0),7),[5]設定!$I24))</f>
        <v>155.1</v>
      </c>
      <c r="L48" s="55">
        <f>IF($D48="","",IF([5]設定!$I24="",INDEX([5]第３表!$F$10:$Q$66,MATCH([5]設定!$D24,[5]第３表!$C$10:$C$66,0),8),[5]設定!$I24))</f>
        <v>14.2</v>
      </c>
      <c r="M48" s="56">
        <f>IF($D48="","",IF([5]設定!$I24="",INDEX([5]第３表!$F$10:$Q$66,MATCH([5]設定!$D24,[5]第３表!$C$10:$C$66,0),9),[5]設定!$I24))</f>
        <v>18.899999999999999</v>
      </c>
      <c r="N48" s="56">
        <f>IF($D48="","",IF([5]設定!$I24="",INDEX([5]第３表!$F$10:$Q$66,MATCH([5]設定!$D24,[5]第３表!$C$10:$C$66,0),10),[5]設定!$I24))</f>
        <v>142.69999999999999</v>
      </c>
      <c r="O48" s="56">
        <f>IF($D48="","",IF([5]設定!$I24="",INDEX([5]第３表!$F$10:$Q$66,MATCH([5]設定!$D24,[5]第３表!$C$10:$C$66,0),11),[5]設定!$I24))</f>
        <v>137.30000000000001</v>
      </c>
      <c r="P48" s="57">
        <f>IF($D48="","",IF([5]設定!$I24="",INDEX([5]第３表!$F$10:$Q$66,MATCH([5]設定!$D24,[5]第３表!$C$10:$C$66,0),12),[5]設定!$I24))</f>
        <v>5.4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IF($D49="","",IF([5]設定!$I25="",INDEX([5]第３表!$F$10:$Q$66,MATCH([5]設定!$D25,[5]第３表!$C$10:$C$66,0),1),[5]設定!$I25))</f>
        <v>19.600000000000001</v>
      </c>
      <c r="F49" s="52">
        <f>IF($D49="","",IF([5]設定!$I25="",INDEX([5]第３表!$F$10:$Q$66,MATCH([5]設定!$D25,[5]第３表!$C$10:$C$66,0),2),[5]設定!$I25))</f>
        <v>161.6</v>
      </c>
      <c r="G49" s="52">
        <f>IF($D49="","",IF([5]設定!$I25="",INDEX([5]第３表!$F$10:$Q$66,MATCH([5]設定!$D25,[5]第３表!$C$10:$C$66,0),3),[5]設定!$I25))</f>
        <v>148.1</v>
      </c>
      <c r="H49" s="53">
        <f>IF($D49="","",IF([5]設定!$I25="",INDEX([5]第３表!$F$10:$Q$66,MATCH([5]設定!$D25,[5]第３表!$C$10:$C$66,0),4),[5]設定!$I25))</f>
        <v>13.5</v>
      </c>
      <c r="I49" s="54">
        <f>IF($D49="","",IF([5]設定!$I25="",INDEX([5]第３表!$F$10:$Q$66,MATCH([5]設定!$D25,[5]第３表!$C$10:$C$66,0),5),[5]設定!$I25))</f>
        <v>19.899999999999999</v>
      </c>
      <c r="J49" s="54">
        <f>IF($D49="","",IF([5]設定!$I25="",INDEX([5]第３表!$F$10:$Q$66,MATCH([5]設定!$D25,[5]第３表!$C$10:$C$66,0),6),[5]設定!$I25))</f>
        <v>169.9</v>
      </c>
      <c r="K49" s="54">
        <f>IF($D49="","",IF([5]設定!$I25="",INDEX([5]第３表!$F$10:$Q$66,MATCH([5]設定!$D25,[5]第３表!$C$10:$C$66,0),7),[5]設定!$I25))</f>
        <v>152.6</v>
      </c>
      <c r="L49" s="55">
        <f>IF($D49="","",IF([5]設定!$I25="",INDEX([5]第３表!$F$10:$Q$66,MATCH([5]設定!$D25,[5]第３表!$C$10:$C$66,0),8),[5]設定!$I25))</f>
        <v>17.3</v>
      </c>
      <c r="M49" s="56">
        <f>IF($D49="","",IF([5]設定!$I25="",INDEX([5]第３表!$F$10:$Q$66,MATCH([5]設定!$D25,[5]第３表!$C$10:$C$66,0),9),[5]設定!$I25))</f>
        <v>19</v>
      </c>
      <c r="N49" s="56">
        <f>IF($D49="","",IF([5]設定!$I25="",INDEX([5]第３表!$F$10:$Q$66,MATCH([5]設定!$D25,[5]第３表!$C$10:$C$66,0),10),[5]設定!$I25))</f>
        <v>147.4</v>
      </c>
      <c r="O49" s="56">
        <f>IF($D49="","",IF([5]設定!$I25="",INDEX([5]第３表!$F$10:$Q$66,MATCH([5]設定!$D25,[5]第３表!$C$10:$C$66,0),11),[5]設定!$I25))</f>
        <v>140.4</v>
      </c>
      <c r="P49" s="57">
        <f>IF($D49="","",IF([5]設定!$I25="",INDEX([5]第３表!$F$10:$Q$66,MATCH([5]設定!$D25,[5]第３表!$C$10:$C$66,0),12),[5]設定!$I25))</f>
        <v>7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IF($D50="","",IF([5]設定!$I26="",INDEX([5]第３表!$F$10:$Q$66,MATCH([5]設定!$D26,[5]第３表!$C$10:$C$66,0),1),[5]設定!$I26))</f>
        <v>19.899999999999999</v>
      </c>
      <c r="F50" s="52">
        <f>IF($D50="","",IF([5]設定!$I26="",INDEX([5]第３表!$F$10:$Q$66,MATCH([5]設定!$D26,[5]第３表!$C$10:$C$66,0),2),[5]設定!$I26))</f>
        <v>164.3</v>
      </c>
      <c r="G50" s="52">
        <f>IF($D50="","",IF([5]設定!$I26="",INDEX([5]第３表!$F$10:$Q$66,MATCH([5]設定!$D26,[5]第３表!$C$10:$C$66,0),3),[5]設定!$I26))</f>
        <v>147.9</v>
      </c>
      <c r="H50" s="53">
        <f>IF($D50="","",IF([5]設定!$I26="",INDEX([5]第３表!$F$10:$Q$66,MATCH([5]設定!$D26,[5]第３表!$C$10:$C$66,0),4),[5]設定!$I26))</f>
        <v>16.399999999999999</v>
      </c>
      <c r="I50" s="54">
        <f>IF($D50="","",IF([5]設定!$I26="",INDEX([5]第３表!$F$10:$Q$66,MATCH([5]設定!$D26,[5]第３表!$C$10:$C$66,0),5),[5]設定!$I26))</f>
        <v>19.8</v>
      </c>
      <c r="J50" s="54">
        <f>IF($D50="","",IF([5]設定!$I26="",INDEX([5]第３表!$F$10:$Q$66,MATCH([5]設定!$D26,[5]第３表!$C$10:$C$66,0),6),[5]設定!$I26))</f>
        <v>165.7</v>
      </c>
      <c r="K50" s="54">
        <f>IF($D50="","",IF([5]設定!$I26="",INDEX([5]第３表!$F$10:$Q$66,MATCH([5]設定!$D26,[5]第３表!$C$10:$C$66,0),7),[5]設定!$I26))</f>
        <v>148.80000000000001</v>
      </c>
      <c r="L50" s="55">
        <f>IF($D50="","",IF([5]設定!$I26="",INDEX([5]第３表!$F$10:$Q$66,MATCH([5]設定!$D26,[5]第３表!$C$10:$C$66,0),8),[5]設定!$I26))</f>
        <v>16.899999999999999</v>
      </c>
      <c r="M50" s="56">
        <f>IF($D50="","",IF([5]設定!$I26="",INDEX([5]第３表!$F$10:$Q$66,MATCH([5]設定!$D26,[5]第３表!$C$10:$C$66,0),9),[5]設定!$I26))</f>
        <v>20.8</v>
      </c>
      <c r="N50" s="56">
        <f>IF($D50="","",IF([5]設定!$I26="",INDEX([5]第３表!$F$10:$Q$66,MATCH([5]設定!$D26,[5]第３表!$C$10:$C$66,0),10),[5]設定!$I26))</f>
        <v>155.4</v>
      </c>
      <c r="O50" s="56">
        <f>IF($D50="","",IF([5]設定!$I26="",INDEX([5]第３表!$F$10:$Q$66,MATCH([5]設定!$D26,[5]第３表!$C$10:$C$66,0),11),[5]設定!$I26))</f>
        <v>142.4</v>
      </c>
      <c r="P50" s="57">
        <f>IF($D50="","",IF([5]設定!$I26="",INDEX([5]第３表!$F$10:$Q$66,MATCH([5]設定!$D26,[5]第３表!$C$10:$C$66,0),12),[5]設定!$I26))</f>
        <v>13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IF($D51="","",IF([5]設定!$I27="",INDEX([5]第３表!$F$10:$Q$66,MATCH([5]設定!$D27,[5]第３表!$C$10:$C$66,0),1),[5]設定!$I27))</f>
        <v>19.399999999999999</v>
      </c>
      <c r="F51" s="52">
        <f>IF($D51="","",IF([5]設定!$I27="",INDEX([5]第３表!$F$10:$Q$66,MATCH([5]設定!$D27,[5]第３表!$C$10:$C$66,0),2),[5]設定!$I27))</f>
        <v>161.9</v>
      </c>
      <c r="G51" s="52">
        <f>IF($D51="","",IF([5]設定!$I27="",INDEX([5]第３表!$F$10:$Q$66,MATCH([5]設定!$D27,[5]第３表!$C$10:$C$66,0),3),[5]設定!$I27))</f>
        <v>146.9</v>
      </c>
      <c r="H51" s="53">
        <f>IF($D51="","",IF([5]設定!$I27="",INDEX([5]第３表!$F$10:$Q$66,MATCH([5]設定!$D27,[5]第３表!$C$10:$C$66,0),4),[5]設定!$I27))</f>
        <v>15</v>
      </c>
      <c r="I51" s="54">
        <f>IF($D51="","",IF([5]設定!$I27="",INDEX([5]第３表!$F$10:$Q$66,MATCH([5]設定!$D27,[5]第３表!$C$10:$C$66,0),5),[5]設定!$I27))</f>
        <v>19.600000000000001</v>
      </c>
      <c r="J51" s="54">
        <f>IF($D51="","",IF([5]設定!$I27="",INDEX([5]第３表!$F$10:$Q$66,MATCH([5]設定!$D27,[5]第３表!$C$10:$C$66,0),6),[5]設定!$I27))</f>
        <v>165.3</v>
      </c>
      <c r="K51" s="54">
        <f>IF($D51="","",IF([5]設定!$I27="",INDEX([5]第３表!$F$10:$Q$66,MATCH([5]設定!$D27,[5]第３表!$C$10:$C$66,0),7),[5]設定!$I27))</f>
        <v>149.30000000000001</v>
      </c>
      <c r="L51" s="55">
        <f>IF($D51="","",IF([5]設定!$I27="",INDEX([5]第３表!$F$10:$Q$66,MATCH([5]設定!$D27,[5]第３表!$C$10:$C$66,0),8),[5]設定!$I27))</f>
        <v>16</v>
      </c>
      <c r="M51" s="56">
        <f>IF($D51="","",IF([5]設定!$I27="",INDEX([5]第３表!$F$10:$Q$66,MATCH([5]設定!$D27,[5]第３表!$C$10:$C$66,0),9),[5]設定!$I27))</f>
        <v>18.899999999999999</v>
      </c>
      <c r="N51" s="56">
        <f>IF($D51="","",IF([5]設定!$I27="",INDEX([5]第３表!$F$10:$Q$66,MATCH([5]設定!$D27,[5]第３表!$C$10:$C$66,0),10),[5]設定!$I27))</f>
        <v>153.5</v>
      </c>
      <c r="O51" s="56">
        <f>IF($D51="","",IF([5]設定!$I27="",INDEX([5]第３表!$F$10:$Q$66,MATCH([5]設定!$D27,[5]第３表!$C$10:$C$66,0),11),[5]設定!$I27))</f>
        <v>141.1</v>
      </c>
      <c r="P51" s="57">
        <f>IF($D51="","",IF([5]設定!$I27="",INDEX([5]第３表!$F$10:$Q$66,MATCH([5]設定!$D27,[5]第３表!$C$10:$C$66,0),12),[5]設定!$I27))</f>
        <v>12.4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IF($D52="","",IF([5]設定!$I28="",INDEX([5]第３表!$F$10:$Q$66,MATCH([5]設定!$D28,[5]第３表!$C$10:$C$66,0),1),[5]設定!$I28))</f>
        <v>20.3</v>
      </c>
      <c r="F52" s="52">
        <f>IF($D52="","",IF([5]設定!$I28="",INDEX([5]第３表!$F$10:$Q$66,MATCH([5]設定!$D28,[5]第３表!$C$10:$C$66,0),2),[5]設定!$I28))</f>
        <v>170.7</v>
      </c>
      <c r="G52" s="52">
        <f>IF($D52="","",IF([5]設定!$I28="",INDEX([5]第３表!$F$10:$Q$66,MATCH([5]設定!$D28,[5]第３表!$C$10:$C$66,0),3),[5]設定!$I28))</f>
        <v>147.80000000000001</v>
      </c>
      <c r="H52" s="53">
        <f>IF($D52="","",IF([5]設定!$I28="",INDEX([5]第３表!$F$10:$Q$66,MATCH([5]設定!$D28,[5]第３表!$C$10:$C$66,0),4),[5]設定!$I28))</f>
        <v>22.9</v>
      </c>
      <c r="I52" s="54">
        <f>IF($D52="","",IF([5]設定!$I28="",INDEX([5]第３表!$F$10:$Q$66,MATCH([5]設定!$D28,[5]第３表!$C$10:$C$66,0),5),[5]設定!$I28))</f>
        <v>20.6</v>
      </c>
      <c r="J52" s="54">
        <f>IF($D52="","",IF([5]設定!$I28="",INDEX([5]第３表!$F$10:$Q$66,MATCH([5]設定!$D28,[5]第３表!$C$10:$C$66,0),6),[5]設定!$I28))</f>
        <v>176.9</v>
      </c>
      <c r="K52" s="54">
        <f>IF($D52="","",IF([5]設定!$I28="",INDEX([5]第３表!$F$10:$Q$66,MATCH([5]設定!$D28,[5]第３表!$C$10:$C$66,0),7),[5]設定!$I28))</f>
        <v>151.1</v>
      </c>
      <c r="L52" s="55">
        <f>IF($D52="","",IF([5]設定!$I28="",INDEX([5]第３表!$F$10:$Q$66,MATCH([5]設定!$D28,[5]第３表!$C$10:$C$66,0),8),[5]設定!$I28))</f>
        <v>25.8</v>
      </c>
      <c r="M52" s="56">
        <f>IF($D52="","",IF([5]設定!$I28="",INDEX([5]第３表!$F$10:$Q$66,MATCH([5]設定!$D28,[5]第３表!$C$10:$C$66,0),9),[5]設定!$I28))</f>
        <v>18.2</v>
      </c>
      <c r="N52" s="56">
        <f>IF($D52="","",IF([5]設定!$I28="",INDEX([5]第３表!$F$10:$Q$66,MATCH([5]設定!$D28,[5]第３表!$C$10:$C$66,0),10),[5]設定!$I28))</f>
        <v>136.69999999999999</v>
      </c>
      <c r="O52" s="56">
        <f>IF($D52="","",IF([5]設定!$I28="",INDEX([5]第３表!$F$10:$Q$66,MATCH([5]設定!$D28,[5]第３表!$C$10:$C$66,0),11),[5]設定!$I28))</f>
        <v>129.5</v>
      </c>
      <c r="P52" s="57">
        <f>IF($D52="","",IF([5]設定!$I28="",INDEX([5]第３表!$F$10:$Q$66,MATCH([5]設定!$D28,[5]第３表!$C$10:$C$66,0),12),[5]設定!$I28))</f>
        <v>7.2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IF($D53="","",IF([5]設定!$I29="",INDEX([5]第３表!$F$10:$Q$66,MATCH([5]設定!$D29,[5]第３表!$C$10:$C$66,0),1),[5]設定!$I29))</f>
        <v>17.600000000000001</v>
      </c>
      <c r="F53" s="52">
        <f>IF($D53="","",IF([5]設定!$I29="",INDEX([5]第３表!$F$10:$Q$66,MATCH([5]設定!$D29,[5]第３表!$C$10:$C$66,0),2),[5]設定!$I29))</f>
        <v>123</v>
      </c>
      <c r="G53" s="52">
        <f>IF($D53="","",IF([5]設定!$I29="",INDEX([5]第３表!$F$10:$Q$66,MATCH([5]設定!$D29,[5]第３表!$C$10:$C$66,0),3),[5]設定!$I29))</f>
        <v>116.4</v>
      </c>
      <c r="H53" s="53">
        <f>IF($D53="","",IF([5]設定!$I29="",INDEX([5]第３表!$F$10:$Q$66,MATCH([5]設定!$D29,[5]第３表!$C$10:$C$66,0),4),[5]設定!$I29))</f>
        <v>6.6</v>
      </c>
      <c r="I53" s="54">
        <f>IF($D53="","",IF([5]設定!$I29="",INDEX([5]第３表!$F$10:$Q$66,MATCH([5]設定!$D29,[5]第３表!$C$10:$C$66,0),5),[5]設定!$I29))</f>
        <v>18.5</v>
      </c>
      <c r="J53" s="54">
        <f>IF($D53="","",IF([5]設定!$I29="",INDEX([5]第３表!$F$10:$Q$66,MATCH([5]設定!$D29,[5]第３表!$C$10:$C$66,0),6),[5]設定!$I29))</f>
        <v>146.5</v>
      </c>
      <c r="K53" s="54">
        <f>IF($D53="","",IF([5]設定!$I29="",INDEX([5]第３表!$F$10:$Q$66,MATCH([5]設定!$D29,[5]第３表!$C$10:$C$66,0),7),[5]設定!$I29))</f>
        <v>134.4</v>
      </c>
      <c r="L53" s="55">
        <f>IF($D53="","",IF([5]設定!$I29="",INDEX([5]第３表!$F$10:$Q$66,MATCH([5]設定!$D29,[5]第３表!$C$10:$C$66,0),8),[5]設定!$I29))</f>
        <v>12.1</v>
      </c>
      <c r="M53" s="56">
        <f>IF($D53="","",IF([5]設定!$I29="",INDEX([5]第３表!$F$10:$Q$66,MATCH([5]設定!$D29,[5]第３表!$C$10:$C$66,0),9),[5]設定!$I29))</f>
        <v>17</v>
      </c>
      <c r="N53" s="56">
        <f>IF($D53="","",IF([5]設定!$I29="",INDEX([5]第３表!$F$10:$Q$66,MATCH([5]設定!$D29,[5]第３表!$C$10:$C$66,0),10),[5]設定!$I29))</f>
        <v>108.8</v>
      </c>
      <c r="O53" s="56">
        <f>IF($D53="","",IF([5]設定!$I29="",INDEX([5]第３表!$F$10:$Q$66,MATCH([5]設定!$D29,[5]第３表!$C$10:$C$66,0),11),[5]設定!$I29))</f>
        <v>105.5</v>
      </c>
      <c r="P53" s="57">
        <f>IF($D53="","",IF([5]設定!$I29="",INDEX([5]第３表!$F$10:$Q$66,MATCH([5]設定!$D29,[5]第３表!$C$10:$C$66,0),12),[5]設定!$I29))</f>
        <v>3.3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>
        <f>IF($D54="","",IF([5]設定!$I30="",INDEX([5]第３表!$F$10:$Q$66,MATCH([5]設定!$D30,[5]第３表!$C$10:$C$66,0),1),[5]設定!$I30))</f>
        <v>20.2</v>
      </c>
      <c r="F54" s="52">
        <f>IF($D54="","",IF([5]設定!$I30="",INDEX([5]第３表!$F$10:$Q$66,MATCH([5]設定!$D30,[5]第３表!$C$10:$C$66,0),2),[5]設定!$I30))</f>
        <v>145.80000000000001</v>
      </c>
      <c r="G54" s="52">
        <f>IF($D54="","",IF([5]設定!$I30="",INDEX([5]第３表!$F$10:$Q$66,MATCH([5]設定!$D30,[5]第３表!$C$10:$C$66,0),3),[5]設定!$I30))</f>
        <v>140.9</v>
      </c>
      <c r="H54" s="53">
        <f>IF($D54="","",IF([5]設定!$I30="",INDEX([5]第３表!$F$10:$Q$66,MATCH([5]設定!$D30,[5]第３表!$C$10:$C$66,0),4),[5]設定!$I30))</f>
        <v>4.9000000000000004</v>
      </c>
      <c r="I54" s="54">
        <f>IF($D54="","",IF([5]設定!$I30="",INDEX([5]第３表!$F$10:$Q$66,MATCH([5]設定!$D30,[5]第３表!$C$10:$C$66,0),5),[5]設定!$I30))</f>
        <v>20.5</v>
      </c>
      <c r="J54" s="54">
        <f>IF($D54="","",IF([5]設定!$I30="",INDEX([5]第３表!$F$10:$Q$66,MATCH([5]設定!$D30,[5]第３表!$C$10:$C$66,0),6),[5]設定!$I30))</f>
        <v>147.6</v>
      </c>
      <c r="K54" s="54">
        <f>IF($D54="","",IF([5]設定!$I30="",INDEX([5]第３表!$F$10:$Q$66,MATCH([5]設定!$D30,[5]第３表!$C$10:$C$66,0),7),[5]設定!$I30))</f>
        <v>143.80000000000001</v>
      </c>
      <c r="L54" s="55">
        <f>IF($D54="","",IF([5]設定!$I30="",INDEX([5]第３表!$F$10:$Q$66,MATCH([5]設定!$D30,[5]第３表!$C$10:$C$66,0),8),[5]設定!$I30))</f>
        <v>3.8</v>
      </c>
      <c r="M54" s="56">
        <f>IF($D54="","",IF([5]設定!$I30="",INDEX([5]第３表!$F$10:$Q$66,MATCH([5]設定!$D30,[5]第３表!$C$10:$C$66,0),9),[5]設定!$I30))</f>
        <v>20</v>
      </c>
      <c r="N54" s="56">
        <f>IF($D54="","",IF([5]設定!$I30="",INDEX([5]第３表!$F$10:$Q$66,MATCH([5]設定!$D30,[5]第３表!$C$10:$C$66,0),10),[5]設定!$I30))</f>
        <v>144.19999999999999</v>
      </c>
      <c r="O54" s="56">
        <f>IF($D54="","",IF([5]設定!$I30="",INDEX([5]第３表!$F$10:$Q$66,MATCH([5]設定!$D30,[5]第３表!$C$10:$C$66,0),11),[5]設定!$I30))</f>
        <v>138.30000000000001</v>
      </c>
      <c r="P54" s="57">
        <f>IF($D54="","",IF([5]設定!$I30="",INDEX([5]第３表!$F$10:$Q$66,MATCH([5]設定!$D30,[5]第３表!$C$10:$C$66,0),12),[5]設定!$I30))</f>
        <v>5.9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IF($D55="","",IF([5]設定!$I31="",INDEX([5]第３表!$F$10:$Q$66,MATCH([5]設定!$D31,[5]第３表!$C$10:$C$66,0),1),[5]設定!$I31))</f>
        <v>20.3</v>
      </c>
      <c r="F55" s="52">
        <f>IF($D55="","",IF([5]設定!$I31="",INDEX([5]第３表!$F$10:$Q$66,MATCH([5]設定!$D31,[5]第３表!$C$10:$C$66,0),2),[5]設定!$I31))</f>
        <v>156.30000000000001</v>
      </c>
      <c r="G55" s="52">
        <f>IF($D55="","",IF([5]設定!$I31="",INDEX([5]第３表!$F$10:$Q$66,MATCH([5]設定!$D31,[5]第３表!$C$10:$C$66,0),3),[5]設定!$I31))</f>
        <v>151.1</v>
      </c>
      <c r="H55" s="52">
        <f>IF($D55="","",IF([5]設定!$I31="",INDEX([5]第３表!$F$10:$Q$66,MATCH([5]設定!$D31,[5]第３表!$C$10:$C$66,0),4),[5]設定!$I31))</f>
        <v>5.2</v>
      </c>
      <c r="I55" s="54">
        <f>IF($D55="","",IF([5]設定!$I31="",INDEX([5]第３表!$F$10:$Q$66,MATCH([5]設定!$D31,[5]第３表!$C$10:$C$66,0),5),[5]設定!$I31))</f>
        <v>20.6</v>
      </c>
      <c r="J55" s="54">
        <f>IF($D55="","",IF([5]設定!$I31="",INDEX([5]第３表!$F$10:$Q$66,MATCH([5]設定!$D31,[5]第３表!$C$10:$C$66,0),6),[5]設定!$I31))</f>
        <v>165.6</v>
      </c>
      <c r="K55" s="54">
        <f>IF($D55="","",IF([5]設定!$I31="",INDEX([5]第３表!$F$10:$Q$66,MATCH([5]設定!$D31,[5]第３表!$C$10:$C$66,0),7),[5]設定!$I31))</f>
        <v>159.5</v>
      </c>
      <c r="L55" s="55">
        <f>IF($D55="","",IF([5]設定!$I31="",INDEX([5]第３表!$F$10:$Q$66,MATCH([5]設定!$D31,[5]第３表!$C$10:$C$66,0),8),[5]設定!$I31))</f>
        <v>6.1</v>
      </c>
      <c r="M55" s="56">
        <f>IF($D55="","",IF([5]設定!$I31="",INDEX([5]第３表!$F$10:$Q$66,MATCH([5]設定!$D31,[5]第３表!$C$10:$C$66,0),9),[5]設定!$I31))</f>
        <v>19.7</v>
      </c>
      <c r="N55" s="56">
        <f>IF($D55="","",IF([5]設定!$I31="",INDEX([5]第３表!$F$10:$Q$66,MATCH([5]設定!$D31,[5]第３表!$C$10:$C$66,0),10),[5]設定!$I31))</f>
        <v>140.4</v>
      </c>
      <c r="O55" s="56">
        <f>IF($D55="","",IF([5]設定!$I31="",INDEX([5]第３表!$F$10:$Q$66,MATCH([5]設定!$D31,[5]第３表!$C$10:$C$66,0),11),[5]設定!$I31))</f>
        <v>136.80000000000001</v>
      </c>
      <c r="P55" s="57">
        <f>IF($D55="","",IF([5]設定!$I31="",INDEX([5]第３表!$F$10:$Q$66,MATCH([5]設定!$D31,[5]第３表!$C$10:$C$66,0),12),[5]設定!$I31))</f>
        <v>3.6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IF($D56="","",IF([5]設定!$I32="",INDEX([5]第３表!$F$10:$Q$66,MATCH([5]設定!$D32,[5]第３表!$C$10:$C$66,0),1),[5]設定!$I32))</f>
        <v>19.600000000000001</v>
      </c>
      <c r="F56" s="52">
        <f>IF($D56="","",IF([5]設定!$I32="",INDEX([5]第３表!$F$10:$Q$66,MATCH([5]設定!$D32,[5]第３表!$C$10:$C$66,0),2),[5]設定!$I32))</f>
        <v>163.9</v>
      </c>
      <c r="G56" s="52">
        <f>IF($D56="","",IF([5]設定!$I32="",INDEX([5]第３表!$F$10:$Q$66,MATCH([5]設定!$D32,[5]第３表!$C$10:$C$66,0),3),[5]設定!$I32))</f>
        <v>149.1</v>
      </c>
      <c r="H56" s="53">
        <f>IF($D56="","",IF([5]設定!$I32="",INDEX([5]第３表!$F$10:$Q$66,MATCH([5]設定!$D32,[5]第３表!$C$10:$C$66,0),4),[5]設定!$I32))</f>
        <v>14.8</v>
      </c>
      <c r="I56" s="54">
        <f>IF($D56="","",IF([5]設定!$I32="",INDEX([5]第３表!$F$10:$Q$66,MATCH([5]設定!$D32,[5]第３表!$C$10:$C$66,0),5),[5]設定!$I32))</f>
        <v>19.899999999999999</v>
      </c>
      <c r="J56" s="54">
        <f>IF($D56="","",IF([5]設定!$I32="",INDEX([5]第３表!$F$10:$Q$66,MATCH([5]設定!$D32,[5]第３表!$C$10:$C$66,0),6),[5]設定!$I32))</f>
        <v>167.3</v>
      </c>
      <c r="K56" s="54">
        <f>IF($D56="","",IF([5]設定!$I32="",INDEX([5]第３表!$F$10:$Q$66,MATCH([5]設定!$D32,[5]第３表!$C$10:$C$66,0),7),[5]設定!$I32))</f>
        <v>152.1</v>
      </c>
      <c r="L56" s="55">
        <f>IF($D56="","",IF([5]設定!$I32="",INDEX([5]第３表!$F$10:$Q$66,MATCH([5]設定!$D32,[5]第３表!$C$10:$C$66,0),8),[5]設定!$I32))</f>
        <v>15.2</v>
      </c>
      <c r="M56" s="56">
        <f>IF($D56="","",IF([5]設定!$I32="",INDEX([5]第３表!$F$10:$Q$66,MATCH([5]設定!$D32,[5]第３表!$C$10:$C$66,0),9),[5]設定!$I32))</f>
        <v>18.8</v>
      </c>
      <c r="N56" s="56">
        <f>IF($D56="","",IF([5]設定!$I32="",INDEX([5]第３表!$F$10:$Q$66,MATCH([5]設定!$D32,[5]第３表!$C$10:$C$66,0),10),[5]設定!$I32))</f>
        <v>151.69999999999999</v>
      </c>
      <c r="O56" s="56">
        <f>IF($D56="","",IF([5]設定!$I32="",INDEX([5]第３表!$F$10:$Q$66,MATCH([5]設定!$D32,[5]第３表!$C$10:$C$66,0),11),[5]設定!$I32))</f>
        <v>138.4</v>
      </c>
      <c r="P56" s="57">
        <f>IF($D56="","",IF([5]設定!$I32="",INDEX([5]第３表!$F$10:$Q$66,MATCH([5]設定!$D32,[5]第３表!$C$10:$C$66,0),12),[5]設定!$I32))</f>
        <v>13.3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IF($D57="","",IF([5]設定!$I33="",INDEX([5]第３表!$F$10:$Q$66,MATCH([5]設定!$D33,[5]第３表!$C$10:$C$66,0),1),[5]設定!$I33))</f>
        <v>15</v>
      </c>
      <c r="F57" s="52">
        <f>IF($D57="","",IF([5]設定!$I33="",INDEX([5]第３表!$F$10:$Q$66,MATCH([5]設定!$D33,[5]第３表!$C$10:$C$66,0),2),[5]設定!$I33))</f>
        <v>97.8</v>
      </c>
      <c r="G57" s="52">
        <f>IF($D57="","",IF([5]設定!$I33="",INDEX([5]第３表!$F$10:$Q$66,MATCH([5]設定!$D33,[5]第３表!$C$10:$C$66,0),3),[5]設定!$I33))</f>
        <v>92.3</v>
      </c>
      <c r="H57" s="53">
        <f>IF($D57="","",IF([5]設定!$I33="",INDEX([5]第３表!$F$10:$Q$66,MATCH([5]設定!$D33,[5]第３表!$C$10:$C$66,0),4),[5]設定!$I33))</f>
        <v>5.5</v>
      </c>
      <c r="I57" s="54">
        <f>IF($D57="","",IF([5]設定!$I33="",INDEX([5]第３表!$F$10:$Q$66,MATCH([5]設定!$D33,[5]第３表!$C$10:$C$66,0),5),[5]設定!$I33))</f>
        <v>15</v>
      </c>
      <c r="J57" s="54">
        <f>IF($D57="","",IF([5]設定!$I33="",INDEX([5]第３表!$F$10:$Q$66,MATCH([5]設定!$D33,[5]第３表!$C$10:$C$66,0),6),[5]設定!$I33))</f>
        <v>104.5</v>
      </c>
      <c r="K57" s="54">
        <f>IF($D57="","",IF([5]設定!$I33="",INDEX([5]第３表!$F$10:$Q$66,MATCH([5]設定!$D33,[5]第３表!$C$10:$C$66,0),7),[5]設定!$I33))</f>
        <v>95.9</v>
      </c>
      <c r="L57" s="55">
        <f>IF($D57="","",IF([5]設定!$I33="",INDEX([5]第３表!$F$10:$Q$66,MATCH([5]設定!$D33,[5]第３表!$C$10:$C$66,0),8),[5]設定!$I33))</f>
        <v>8.6</v>
      </c>
      <c r="M57" s="56">
        <f>IF($D57="","",IF([5]設定!$I33="",INDEX([5]第３表!$F$10:$Q$66,MATCH([5]設定!$D33,[5]第３表!$C$10:$C$66,0),9),[5]設定!$I33))</f>
        <v>15.1</v>
      </c>
      <c r="N57" s="56">
        <f>IF($D57="","",IF([5]設定!$I33="",INDEX([5]第３表!$F$10:$Q$66,MATCH([5]設定!$D33,[5]第３表!$C$10:$C$66,0),10),[5]設定!$I33))</f>
        <v>94</v>
      </c>
      <c r="O57" s="56">
        <f>IF($D57="","",IF([5]設定!$I33="",INDEX([5]第３表!$F$10:$Q$66,MATCH([5]設定!$D33,[5]第３表!$C$10:$C$66,0),11),[5]設定!$I33))</f>
        <v>90.3</v>
      </c>
      <c r="P57" s="57">
        <f>IF($D57="","",IF([5]設定!$I33="",INDEX([5]第３表!$F$10:$Q$66,MATCH([5]設定!$D33,[5]第３表!$C$10:$C$66,0),12),[5]設定!$I33))</f>
        <v>3.7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f>IF($D58="","",IF([5]設定!$I34="",INDEX([5]第３表!$F$10:$Q$66,MATCH([5]設定!$D34,[5]第３表!$C$10:$C$66,0),1),[5]設定!$I34))</f>
        <v>16.8</v>
      </c>
      <c r="F58" s="52">
        <f>IF($D58="","",IF([5]設定!$I34="",INDEX([5]第３表!$F$10:$Q$66,MATCH([5]設定!$D34,[5]第３表!$C$10:$C$66,0),2),[5]設定!$I34))</f>
        <v>137.30000000000001</v>
      </c>
      <c r="G58" s="52">
        <f>IF($D58="","",IF([5]設定!$I34="",INDEX([5]第３表!$F$10:$Q$66,MATCH([5]設定!$D34,[5]第３表!$C$10:$C$66,0),3),[5]設定!$I34))</f>
        <v>127.8</v>
      </c>
      <c r="H58" s="53">
        <f>IF($D58="","",IF([5]設定!$I34="",INDEX([5]第３表!$F$10:$Q$66,MATCH([5]設定!$D34,[5]第３表!$C$10:$C$66,0),4),[5]設定!$I34))</f>
        <v>9.5</v>
      </c>
      <c r="I58" s="54">
        <f>IF($D58="","",IF([5]設定!$I34="",INDEX([5]第３表!$F$10:$Q$66,MATCH([5]設定!$D34,[5]第３表!$C$10:$C$66,0),5),[5]設定!$I34))</f>
        <v>17.100000000000001</v>
      </c>
      <c r="J58" s="54">
        <f>IF($D58="","",IF([5]設定!$I34="",INDEX([5]第３表!$F$10:$Q$66,MATCH([5]設定!$D34,[5]第３表!$C$10:$C$66,0),6),[5]設定!$I34))</f>
        <v>145.1</v>
      </c>
      <c r="K58" s="54">
        <f>IF($D58="","",IF([5]設定!$I34="",INDEX([5]第３表!$F$10:$Q$66,MATCH([5]設定!$D34,[5]第３表!$C$10:$C$66,0),7),[5]設定!$I34))</f>
        <v>133.4</v>
      </c>
      <c r="L58" s="55">
        <f>IF($D58="","",IF([5]設定!$I34="",INDEX([5]第３表!$F$10:$Q$66,MATCH([5]設定!$D34,[5]第３表!$C$10:$C$66,0),8),[5]設定!$I34))</f>
        <v>11.7</v>
      </c>
      <c r="M58" s="56">
        <f>IF($D58="","",IF([5]設定!$I34="",INDEX([5]第３表!$F$10:$Q$66,MATCH([5]設定!$D34,[5]第３表!$C$10:$C$66,0),9),[5]設定!$I34))</f>
        <v>16.3</v>
      </c>
      <c r="N58" s="56">
        <f>IF($D58="","",IF([5]設定!$I34="",INDEX([5]第３表!$F$10:$Q$66,MATCH([5]設定!$D34,[5]第３表!$C$10:$C$66,0),10),[5]設定!$I34))</f>
        <v>123.8</v>
      </c>
      <c r="O58" s="56">
        <f>IF($D58="","",IF([5]設定!$I34="",INDEX([5]第３表!$F$10:$Q$66,MATCH([5]設定!$D34,[5]第３表!$C$10:$C$66,0),11),[5]設定!$I34))</f>
        <v>118.2</v>
      </c>
      <c r="P58" s="57">
        <f>IF($D58="","",IF([5]設定!$I34="",INDEX([5]第３表!$F$10:$Q$66,MATCH([5]設定!$D34,[5]第３表!$C$10:$C$66,0),12),[5]設定!$I34))</f>
        <v>5.6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IF($D59="","",IF([5]設定!$I35="",INDEX([5]第３表!$F$10:$Q$66,MATCH([5]設定!$D35,[5]第３表!$C$10:$C$66,0),1),[5]設定!$I35))</f>
        <v>18.7</v>
      </c>
      <c r="F59" s="52">
        <f>IF($D59="","",IF([5]設定!$I35="",INDEX([5]第３表!$F$10:$Q$66,MATCH([5]設定!$D35,[5]第３表!$C$10:$C$66,0),2),[5]設定!$I35))</f>
        <v>162.6</v>
      </c>
      <c r="G59" s="52">
        <f>IF($D59="","",IF([5]設定!$I35="",INDEX([5]第３表!$F$10:$Q$66,MATCH([5]設定!$D35,[5]第３表!$C$10:$C$66,0),3),[5]設定!$I35))</f>
        <v>138.4</v>
      </c>
      <c r="H59" s="53">
        <f>IF($D59="","",IF([5]設定!$I35="",INDEX([5]第３表!$F$10:$Q$66,MATCH([5]設定!$D35,[5]第３表!$C$10:$C$66,0),4),[5]設定!$I35))</f>
        <v>24.2</v>
      </c>
      <c r="I59" s="54">
        <f>IF($D59="","",IF([5]設定!$I35="",INDEX([5]第３表!$F$10:$Q$66,MATCH([5]設定!$D35,[5]第３表!$C$10:$C$66,0),5),[5]設定!$I35))</f>
        <v>19.7</v>
      </c>
      <c r="J59" s="54">
        <f>IF($D59="","",IF([5]設定!$I35="",INDEX([5]第３表!$F$10:$Q$66,MATCH([5]設定!$D35,[5]第３表!$C$10:$C$66,0),6),[5]設定!$I35))</f>
        <v>180.9</v>
      </c>
      <c r="K59" s="54">
        <f>IF($D59="","",IF([5]設定!$I35="",INDEX([5]第３表!$F$10:$Q$66,MATCH([5]設定!$D35,[5]第３表!$C$10:$C$66,0),7),[5]設定!$I35))</f>
        <v>149.6</v>
      </c>
      <c r="L59" s="55">
        <f>IF($D59="","",IF([5]設定!$I35="",INDEX([5]第３表!$F$10:$Q$66,MATCH([5]設定!$D35,[5]第３表!$C$10:$C$66,0),8),[5]設定!$I35))</f>
        <v>31.3</v>
      </c>
      <c r="M59" s="56">
        <f>IF($D59="","",IF([5]設定!$I35="",INDEX([5]第３表!$F$10:$Q$66,MATCH([5]設定!$D35,[5]第３表!$C$10:$C$66,0),9),[5]設定!$I35))</f>
        <v>17.899999999999999</v>
      </c>
      <c r="N59" s="56">
        <f>IF($D59="","",IF([5]設定!$I35="",INDEX([5]第３表!$F$10:$Q$66,MATCH([5]設定!$D35,[5]第３表!$C$10:$C$66,0),10),[5]設定!$I35))</f>
        <v>146.4</v>
      </c>
      <c r="O59" s="56">
        <f>IF($D59="","",IF([5]設定!$I35="",INDEX([5]第３表!$F$10:$Q$66,MATCH([5]設定!$D35,[5]第３表!$C$10:$C$66,0),11),[5]設定!$I35))</f>
        <v>128.6</v>
      </c>
      <c r="P59" s="57">
        <f>IF($D59="","",IF([5]設定!$I35="",INDEX([5]第３表!$F$10:$Q$66,MATCH([5]設定!$D35,[5]第３表!$C$10:$C$66,0),12),[5]設定!$I35))</f>
        <v>17.8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IF($D60="","",IF([5]設定!$I36="",INDEX([5]第３表!$F$10:$Q$66,MATCH([5]設定!$D36,[5]第３表!$C$10:$C$66,0),1),[5]設定!$I36))</f>
        <v>19.100000000000001</v>
      </c>
      <c r="F60" s="52">
        <f>IF($D60="","",IF([5]設定!$I36="",INDEX([5]第３表!$F$10:$Q$66,MATCH([5]設定!$D36,[5]第３表!$C$10:$C$66,0),2),[5]設定!$I36))</f>
        <v>140.1</v>
      </c>
      <c r="G60" s="52">
        <f>IF($D60="","",IF([5]設定!$I36="",INDEX([5]第３表!$F$10:$Q$66,MATCH([5]設定!$D36,[5]第３表!$C$10:$C$66,0),3),[5]設定!$I36))</f>
        <v>135.5</v>
      </c>
      <c r="H60" s="53">
        <f>IF($D60="","",IF([5]設定!$I36="",INDEX([5]第３表!$F$10:$Q$66,MATCH([5]設定!$D36,[5]第３表!$C$10:$C$66,0),4),[5]設定!$I36))</f>
        <v>4.5999999999999996</v>
      </c>
      <c r="I60" s="54">
        <f>IF($D60="","",IF([5]設定!$I36="",INDEX([5]第３表!$F$10:$Q$66,MATCH([5]設定!$D36,[5]第３表!$C$10:$C$66,0),5),[5]設定!$I36))</f>
        <v>19.8</v>
      </c>
      <c r="J60" s="54">
        <f>IF($D60="","",IF([5]設定!$I36="",INDEX([5]第３表!$F$10:$Q$66,MATCH([5]設定!$D36,[5]第３表!$C$10:$C$66,0),6),[5]設定!$I36))</f>
        <v>146.5</v>
      </c>
      <c r="K60" s="54">
        <f>IF($D60="","",IF([5]設定!$I36="",INDEX([5]第３表!$F$10:$Q$66,MATCH([5]設定!$D36,[5]第３表!$C$10:$C$66,0),7),[5]設定!$I36))</f>
        <v>139.9</v>
      </c>
      <c r="L60" s="55">
        <f>IF($D60="","",IF([5]設定!$I36="",INDEX([5]第３表!$F$10:$Q$66,MATCH([5]設定!$D36,[5]第３表!$C$10:$C$66,0),8),[5]設定!$I36))</f>
        <v>6.6</v>
      </c>
      <c r="M60" s="56">
        <f>IF($D60="","",IF([5]設定!$I36="",INDEX([5]第３表!$F$10:$Q$66,MATCH([5]設定!$D36,[5]第３表!$C$10:$C$66,0),9),[5]設定!$I36))</f>
        <v>18.8</v>
      </c>
      <c r="N60" s="56">
        <f>IF($D60="","",IF([5]設定!$I36="",INDEX([5]第３表!$F$10:$Q$66,MATCH([5]設定!$D36,[5]第３表!$C$10:$C$66,0),10),[5]設定!$I36))</f>
        <v>137.9</v>
      </c>
      <c r="O60" s="56">
        <f>IF($D60="","",IF([5]設定!$I36="",INDEX([5]第３表!$F$10:$Q$66,MATCH([5]設定!$D36,[5]第３表!$C$10:$C$66,0),11),[5]設定!$I36))</f>
        <v>134</v>
      </c>
      <c r="P60" s="57">
        <f>IF($D60="","",IF([5]設定!$I36="",INDEX([5]第３表!$F$10:$Q$66,MATCH([5]設定!$D36,[5]第３表!$C$10:$C$66,0),12),[5]設定!$I36))</f>
        <v>3.9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IF($D61="","",IF([5]設定!$I37="",INDEX([5]第３表!$F$10:$Q$66,MATCH([5]設定!$D37,[5]第３表!$C$10:$C$66,0),1),[5]設定!$I37))</f>
        <v>19.100000000000001</v>
      </c>
      <c r="F61" s="52">
        <f>IF($D61="","",IF([5]設定!$I37="",INDEX([5]第３表!$F$10:$Q$66,MATCH([5]設定!$D37,[5]第３表!$C$10:$C$66,0),2),[5]設定!$I37))</f>
        <v>152.69999999999999</v>
      </c>
      <c r="G61" s="52">
        <f>IF($D61="","",IF([5]設定!$I37="",INDEX([5]第３表!$F$10:$Q$66,MATCH([5]設定!$D37,[5]第３表!$C$10:$C$66,0),3),[5]設定!$I37))</f>
        <v>146.69999999999999</v>
      </c>
      <c r="H61" s="53">
        <f>IF($D61="","",IF([5]設定!$I37="",INDEX([5]第３表!$F$10:$Q$66,MATCH([5]設定!$D37,[5]第３表!$C$10:$C$66,0),4),[5]設定!$I37))</f>
        <v>6</v>
      </c>
      <c r="I61" s="54">
        <f>IF($D61="","",IF([5]設定!$I37="",INDEX([5]第３表!$F$10:$Q$66,MATCH([5]設定!$D37,[5]第３表!$C$10:$C$66,0),5),[5]設定!$I37))</f>
        <v>19.100000000000001</v>
      </c>
      <c r="J61" s="54">
        <f>IF($D61="","",IF([5]設定!$I37="",INDEX([5]第３表!$F$10:$Q$66,MATCH([5]設定!$D37,[5]第３表!$C$10:$C$66,0),6),[5]設定!$I37))</f>
        <v>154.6</v>
      </c>
      <c r="K61" s="54">
        <f>IF($D61="","",IF([5]設定!$I37="",INDEX([5]第３表!$F$10:$Q$66,MATCH([5]設定!$D37,[5]第３表!$C$10:$C$66,0),7),[5]設定!$I37))</f>
        <v>149.6</v>
      </c>
      <c r="L61" s="55">
        <f>IF($D61="","",IF([5]設定!$I37="",INDEX([5]第３表!$F$10:$Q$66,MATCH([5]設定!$D37,[5]第３表!$C$10:$C$66,0),8),[5]設定!$I37))</f>
        <v>5</v>
      </c>
      <c r="M61" s="56">
        <f>IF($D61="","",IF([5]設定!$I37="",INDEX([5]第３表!$F$10:$Q$66,MATCH([5]設定!$D37,[5]第３表!$C$10:$C$66,0),9),[5]設定!$I37))</f>
        <v>19</v>
      </c>
      <c r="N61" s="56">
        <f>IF($D61="","",IF([5]設定!$I37="",INDEX([5]第３表!$F$10:$Q$66,MATCH([5]設定!$D37,[5]第３表!$C$10:$C$66,0),10),[5]設定!$I37))</f>
        <v>149.80000000000001</v>
      </c>
      <c r="O61" s="56">
        <f>IF($D61="","",IF([5]設定!$I37="",INDEX([5]第３表!$F$10:$Q$66,MATCH([5]設定!$D37,[5]第３表!$C$10:$C$66,0),11),[5]設定!$I37))</f>
        <v>142.30000000000001</v>
      </c>
      <c r="P61" s="57">
        <f>IF($D61="","",IF([5]設定!$I37="",INDEX([5]第３表!$F$10:$Q$66,MATCH([5]設定!$D37,[5]第３表!$C$10:$C$66,0),12),[5]設定!$I37))</f>
        <v>7.5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IF($D62="","",IF([5]設定!$I38="",INDEX([5]第３表!$F$10:$Q$66,MATCH([5]設定!$D38,[5]第３表!$C$10:$C$66,0),1),[5]設定!$I38))</f>
        <v>18.899999999999999</v>
      </c>
      <c r="F62" s="52">
        <f>IF($D62="","",IF([5]設定!$I38="",INDEX([5]第３表!$F$10:$Q$66,MATCH([5]設定!$D38,[5]第３表!$C$10:$C$66,0),2),[5]設定!$I38))</f>
        <v>143</v>
      </c>
      <c r="G62" s="52">
        <f>IF($D62="","",IF([5]設定!$I38="",INDEX([5]第３表!$F$10:$Q$66,MATCH([5]設定!$D38,[5]第３表!$C$10:$C$66,0),3),[5]設定!$I38))</f>
        <v>133</v>
      </c>
      <c r="H62" s="53">
        <f>IF($D62="","",IF([5]設定!$I38="",INDEX([5]第３表!$F$10:$Q$66,MATCH([5]設定!$D38,[5]第３表!$C$10:$C$66,0),4),[5]設定!$I38))</f>
        <v>10</v>
      </c>
      <c r="I62" s="54">
        <f>IF($D62="","",IF([5]設定!$I38="",INDEX([5]第３表!$F$10:$Q$66,MATCH([5]設定!$D38,[5]第３表!$C$10:$C$66,0),5),[5]設定!$I38))</f>
        <v>19.3</v>
      </c>
      <c r="J62" s="54">
        <f>IF($D62="","",IF([5]設定!$I38="",INDEX([5]第３表!$F$10:$Q$66,MATCH([5]設定!$D38,[5]第３表!$C$10:$C$66,0),6),[5]設定!$I38))</f>
        <v>160.69999999999999</v>
      </c>
      <c r="K62" s="54">
        <f>IF($D62="","",IF([5]設定!$I38="",INDEX([5]第３表!$F$10:$Q$66,MATCH([5]設定!$D38,[5]第３表!$C$10:$C$66,0),7),[5]設定!$I38))</f>
        <v>146.1</v>
      </c>
      <c r="L62" s="55">
        <f>IF($D62="","",IF([5]設定!$I38="",INDEX([5]第３表!$F$10:$Q$66,MATCH([5]設定!$D38,[5]第３表!$C$10:$C$66,0),8),[5]設定!$I38))</f>
        <v>14.6</v>
      </c>
      <c r="M62" s="56">
        <f>IF($D62="","",IF([5]設定!$I38="",INDEX([5]第３表!$F$10:$Q$66,MATCH([5]設定!$D38,[5]第３表!$C$10:$C$66,0),9),[5]設定!$I38))</f>
        <v>18.5</v>
      </c>
      <c r="N62" s="56">
        <f>IF($D62="","",IF([5]設定!$I38="",INDEX([5]第３表!$F$10:$Q$66,MATCH([5]設定!$D38,[5]第３表!$C$10:$C$66,0),10),[5]設定!$I38))</f>
        <v>125</v>
      </c>
      <c r="O62" s="56">
        <f>IF($D62="","",IF([5]設定!$I38="",INDEX([5]第３表!$F$10:$Q$66,MATCH([5]設定!$D38,[5]第３表!$C$10:$C$66,0),11),[5]設定!$I38))</f>
        <v>119.7</v>
      </c>
      <c r="P62" s="57">
        <f>IF($D62="","",IF([5]設定!$I38="",INDEX([5]第３表!$F$10:$Q$66,MATCH([5]設定!$D38,[5]第３表!$C$10:$C$66,0),12),[5]設定!$I38))</f>
        <v>5.3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IF($D63="","",IF([5]設定!$I39="",INDEX([5]第３表!$F$10:$Q$66,MATCH([5]設定!$D39,[5]第３表!$C$10:$C$66,0),1),[5]設定!$I39))</f>
        <v>18.899999999999999</v>
      </c>
      <c r="F63" s="48">
        <f>IF($D63="","",IF([5]設定!$I39="",INDEX([5]第３表!$F$10:$Q$66,MATCH([5]設定!$D39,[5]第３表!$C$10:$C$66,0),2),[5]設定!$I39))</f>
        <v>149.9</v>
      </c>
      <c r="G63" s="48">
        <f>IF($D63="","",IF([5]設定!$I39="",INDEX([5]第３表!$F$10:$Q$66,MATCH([5]設定!$D39,[5]第３表!$C$10:$C$66,0),3),[5]設定!$I39))</f>
        <v>139.4</v>
      </c>
      <c r="H63" s="64">
        <f>IF($D63="","",IF([5]設定!$I39="",INDEX([5]第３表!$F$10:$Q$66,MATCH([5]設定!$D39,[5]第３表!$C$10:$C$66,0),4),[5]設定!$I39))</f>
        <v>10.5</v>
      </c>
      <c r="I63" s="48">
        <f>IF($D63="","",IF([5]設定!$I39="",INDEX([5]第３表!$F$10:$Q$66,MATCH([5]設定!$D39,[5]第３表!$C$10:$C$66,0),5),[5]設定!$I39))</f>
        <v>19.100000000000001</v>
      </c>
      <c r="J63" s="48">
        <f>IF($D63="","",IF([5]設定!$I39="",INDEX([5]第３表!$F$10:$Q$66,MATCH([5]設定!$D39,[5]第３表!$C$10:$C$66,0),6),[5]設定!$I39))</f>
        <v>160.19999999999999</v>
      </c>
      <c r="K63" s="48">
        <f>IF($D63="","",IF([5]設定!$I39="",INDEX([5]第３表!$F$10:$Q$66,MATCH([5]設定!$D39,[5]第３表!$C$10:$C$66,0),7),[5]設定!$I39))</f>
        <v>146.19999999999999</v>
      </c>
      <c r="L63" s="64">
        <f>IF($D63="","",IF([5]設定!$I39="",INDEX([5]第３表!$F$10:$Q$66,MATCH([5]設定!$D39,[5]第３表!$C$10:$C$66,0),8),[5]設定!$I39))</f>
        <v>14</v>
      </c>
      <c r="M63" s="48">
        <f>IF($D63="","",IF([5]設定!$I39="",INDEX([5]第３表!$F$10:$Q$66,MATCH([5]設定!$D39,[5]第３表!$C$10:$C$66,0),9),[5]設定!$I39))</f>
        <v>18.7</v>
      </c>
      <c r="N63" s="48">
        <f>IF($D63="","",IF([5]設定!$I39="",INDEX([5]第３表!$F$10:$Q$66,MATCH([5]設定!$D39,[5]第３表!$C$10:$C$66,0),10),[5]設定!$I39))</f>
        <v>140.19999999999999</v>
      </c>
      <c r="O63" s="48">
        <f>IF($D63="","",IF([5]設定!$I39="",INDEX([5]第３表!$F$10:$Q$66,MATCH([5]設定!$D39,[5]第３表!$C$10:$C$66,0),11),[5]設定!$I39))</f>
        <v>133</v>
      </c>
      <c r="P63" s="64">
        <f>IF($D63="","",IF([5]設定!$I39="",INDEX([5]第３表!$F$10:$Q$66,MATCH([5]設定!$D39,[5]第３表!$C$10:$C$66,0),12),[5]設定!$I39))</f>
        <v>7.2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IF($D64="","",IF([5]設定!$I40="",INDEX([5]第３表!$F$10:$Q$66,MATCH([5]設定!$D40,[5]第３表!$C$10:$C$66,0),1),[5]設定!$I40))</f>
        <v>20.3</v>
      </c>
      <c r="F64" s="52">
        <f>IF($D64="","",IF([5]設定!$I40="",INDEX([5]第３表!$F$10:$Q$66,MATCH([5]設定!$D40,[5]第３表!$C$10:$C$66,0),2),[5]設定!$I40))</f>
        <v>165.9</v>
      </c>
      <c r="G64" s="52">
        <f>IF($D64="","",IF([5]設定!$I40="",INDEX([5]第３表!$F$10:$Q$66,MATCH([5]設定!$D40,[5]第３表!$C$10:$C$66,0),3),[5]設定!$I40))</f>
        <v>153.69999999999999</v>
      </c>
      <c r="H64" s="55">
        <f>IF($D64="","",IF([5]設定!$I40="",INDEX([5]第３表!$F$10:$Q$66,MATCH([5]設定!$D40,[5]第３表!$C$10:$C$66,0),4),[5]設定!$I40))</f>
        <v>12.2</v>
      </c>
      <c r="I64" s="52">
        <f>IF($D64="","",IF([5]設定!$I40="",INDEX([5]第３表!$F$10:$Q$66,MATCH([5]設定!$D40,[5]第３表!$C$10:$C$66,0),5),[5]設定!$I40))</f>
        <v>20.8</v>
      </c>
      <c r="J64" s="52">
        <f>IF($D64="","",IF([5]設定!$I40="",INDEX([5]第３表!$F$10:$Q$66,MATCH([5]設定!$D40,[5]第３表!$C$10:$C$66,0),6),[5]設定!$I40))</f>
        <v>172.3</v>
      </c>
      <c r="K64" s="52">
        <f>IF($D64="","",IF([5]設定!$I40="",INDEX([5]第３表!$F$10:$Q$66,MATCH([5]設定!$D40,[5]第３表!$C$10:$C$66,0),7),[5]設定!$I40))</f>
        <v>156.1</v>
      </c>
      <c r="L64" s="55">
        <f>IF($D64="","",IF([5]設定!$I40="",INDEX([5]第３表!$F$10:$Q$66,MATCH([5]設定!$D40,[5]第３表!$C$10:$C$66,0),8),[5]設定!$I40))</f>
        <v>16.2</v>
      </c>
      <c r="M64" s="52">
        <f>IF($D64="","",IF([5]設定!$I40="",INDEX([5]第３表!$F$10:$Q$66,MATCH([5]設定!$D40,[5]第３表!$C$10:$C$66,0),9),[5]設定!$I40))</f>
        <v>19.899999999999999</v>
      </c>
      <c r="N64" s="52">
        <f>IF($D64="","",IF([5]設定!$I40="",INDEX([5]第３表!$F$10:$Q$66,MATCH([5]設定!$D40,[5]第３表!$C$10:$C$66,0),10),[5]設定!$I40))</f>
        <v>161.19999999999999</v>
      </c>
      <c r="O64" s="52">
        <f>IF($D64="","",IF([5]設定!$I40="",INDEX([5]第３表!$F$10:$Q$66,MATCH([5]設定!$D40,[5]第３表!$C$10:$C$66,0),11),[5]設定!$I40))</f>
        <v>152</v>
      </c>
      <c r="P64" s="55">
        <f>IF($D64="","",IF([5]設定!$I40="",INDEX([5]第３表!$F$10:$Q$66,MATCH([5]設定!$D40,[5]第３表!$C$10:$C$66,0),12),[5]設定!$I40))</f>
        <v>9.1999999999999993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IF($D65="","",IF([5]設定!$I41="",INDEX([5]第３表!$F$10:$Q$66,MATCH([5]設定!$D41,[5]第３表!$C$10:$C$66,0),1),[5]設定!$I41))</f>
        <v>20.399999999999999</v>
      </c>
      <c r="F65" s="52">
        <f>IF($D65="","",IF([5]設定!$I41="",INDEX([5]第３表!$F$10:$Q$66,MATCH([5]設定!$D41,[5]第３表!$C$10:$C$66,0),2),[5]設定!$I41))</f>
        <v>165.6</v>
      </c>
      <c r="G65" s="52">
        <f>IF($D65="","",IF([5]設定!$I41="",INDEX([5]第３表!$F$10:$Q$66,MATCH([5]設定!$D41,[5]第３表!$C$10:$C$66,0),3),[5]設定!$I41))</f>
        <v>152.6</v>
      </c>
      <c r="H65" s="55">
        <f>IF($D65="","",IF([5]設定!$I41="",INDEX([5]第３表!$F$10:$Q$66,MATCH([5]設定!$D41,[5]第３表!$C$10:$C$66,0),4),[5]設定!$I41))</f>
        <v>13</v>
      </c>
      <c r="I65" s="52">
        <f>IF($D65="","",IF([5]設定!$I41="",INDEX([5]第３表!$F$10:$Q$66,MATCH([5]設定!$D41,[5]第３表!$C$10:$C$66,0),5),[5]設定!$I41))</f>
        <v>20.399999999999999</v>
      </c>
      <c r="J65" s="52">
        <f>IF($D65="","",IF([5]設定!$I41="",INDEX([5]第３表!$F$10:$Q$66,MATCH([5]設定!$D41,[5]第３表!$C$10:$C$66,0),6),[5]設定!$I41))</f>
        <v>171</v>
      </c>
      <c r="K65" s="52">
        <f>IF($D65="","",IF([5]設定!$I41="",INDEX([5]第３表!$F$10:$Q$66,MATCH([5]設定!$D41,[5]第３表!$C$10:$C$66,0),7),[5]設定!$I41))</f>
        <v>155.9</v>
      </c>
      <c r="L65" s="55">
        <f>IF($D65="","",IF([5]設定!$I41="",INDEX([5]第３表!$F$10:$Q$66,MATCH([5]設定!$D41,[5]第３表!$C$10:$C$66,0),8),[5]設定!$I41))</f>
        <v>15.1</v>
      </c>
      <c r="M65" s="52">
        <f>IF($D65="","",IF([5]設定!$I41="",INDEX([5]第３表!$F$10:$Q$66,MATCH([5]設定!$D41,[5]第３表!$C$10:$C$66,0),9),[5]設定!$I41))</f>
        <v>20.5</v>
      </c>
      <c r="N65" s="52">
        <f>IF($D65="","",IF([5]設定!$I41="",INDEX([5]第３表!$F$10:$Q$66,MATCH([5]設定!$D41,[5]第３表!$C$10:$C$66,0),10),[5]設定!$I41))</f>
        <v>140.69999999999999</v>
      </c>
      <c r="O65" s="52">
        <f>IF($D65="","",IF([5]設定!$I41="",INDEX([5]第３表!$F$10:$Q$66,MATCH([5]設定!$D41,[5]第３表!$C$10:$C$66,0),11),[5]設定!$I41))</f>
        <v>137.30000000000001</v>
      </c>
      <c r="P65" s="55">
        <f>IF($D65="","",IF([5]設定!$I41="",INDEX([5]第３表!$F$10:$Q$66,MATCH([5]設定!$D41,[5]第３表!$C$10:$C$66,0),12),[5]設定!$I41))</f>
        <v>3.4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IF($D66="","",IF([5]設定!$I42="",INDEX([5]第３表!$F$10:$Q$66,MATCH([5]設定!$D42,[5]第３表!$C$10:$C$66,0),1),[5]設定!$I42))</f>
        <v>x</v>
      </c>
      <c r="F66" s="52" t="str">
        <f>IF($D66="","",IF([5]設定!$I42="",INDEX([5]第３表!$F$10:$Q$66,MATCH([5]設定!$D42,[5]第３表!$C$10:$C$66,0),2),[5]設定!$I42))</f>
        <v>x</v>
      </c>
      <c r="G66" s="52" t="str">
        <f>IF($D66="","",IF([5]設定!$I42="",INDEX([5]第３表!$F$10:$Q$66,MATCH([5]設定!$D42,[5]第３表!$C$10:$C$66,0),3),[5]設定!$I42))</f>
        <v>x</v>
      </c>
      <c r="H66" s="55" t="str">
        <f>IF($D66="","",IF([5]設定!$I42="",INDEX([5]第３表!$F$10:$Q$66,MATCH([5]設定!$D42,[5]第３表!$C$10:$C$66,0),4),[5]設定!$I42))</f>
        <v>x</v>
      </c>
      <c r="I66" s="52" t="str">
        <f>IF($D66="","",IF([5]設定!$I42="",INDEX([5]第３表!$F$10:$Q$66,MATCH([5]設定!$D42,[5]第３表!$C$10:$C$66,0),5),[5]設定!$I42))</f>
        <v>x</v>
      </c>
      <c r="J66" s="52" t="str">
        <f>IF($D66="","",IF([5]設定!$I42="",INDEX([5]第３表!$F$10:$Q$66,MATCH([5]設定!$D42,[5]第３表!$C$10:$C$66,0),6),[5]設定!$I42))</f>
        <v>x</v>
      </c>
      <c r="K66" s="52" t="str">
        <f>IF($D66="","",IF([5]設定!$I42="",INDEX([5]第３表!$F$10:$Q$66,MATCH([5]設定!$D42,[5]第３表!$C$10:$C$66,0),7),[5]設定!$I42))</f>
        <v>x</v>
      </c>
      <c r="L66" s="55" t="str">
        <f>IF($D66="","",IF([5]設定!$I42="",INDEX([5]第３表!$F$10:$Q$66,MATCH([5]設定!$D42,[5]第３表!$C$10:$C$66,0),8),[5]設定!$I42))</f>
        <v>x</v>
      </c>
      <c r="M66" s="52" t="str">
        <f>IF($D66="","",IF([5]設定!$I42="",INDEX([5]第３表!$F$10:$Q$66,MATCH([5]設定!$D42,[5]第３表!$C$10:$C$66,0),9),[5]設定!$I42))</f>
        <v>x</v>
      </c>
      <c r="N66" s="52" t="str">
        <f>IF($D66="","",IF([5]設定!$I42="",INDEX([5]第３表!$F$10:$Q$66,MATCH([5]設定!$D42,[5]第３表!$C$10:$C$66,0),10),[5]設定!$I42))</f>
        <v>x</v>
      </c>
      <c r="O66" s="52" t="str">
        <f>IF($D66="","",IF([5]設定!$I42="",INDEX([5]第３表!$F$10:$Q$66,MATCH([5]設定!$D42,[5]第３表!$C$10:$C$66,0),11),[5]設定!$I42))</f>
        <v>x</v>
      </c>
      <c r="P66" s="55" t="str">
        <f>IF($D66="","",IF([5]設定!$I42="",INDEX([5]第３表!$F$10:$Q$66,MATCH([5]設定!$D42,[5]第３表!$C$10:$C$66,0),12),[5]設定!$I42))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>
        <f>IF($D67="","",IF([5]設定!$I43="",INDEX([5]第３表!$F$10:$Q$66,MATCH([5]設定!$D43,[5]第３表!$C$10:$C$66,0),1),[5]設定!$I43))</f>
        <v>19.899999999999999</v>
      </c>
      <c r="F67" s="52">
        <f>IF($D67="","",IF([5]設定!$I43="",INDEX([5]第３表!$F$10:$Q$66,MATCH([5]設定!$D43,[5]第３表!$C$10:$C$66,0),2),[5]設定!$I43))</f>
        <v>161.5</v>
      </c>
      <c r="G67" s="52">
        <f>IF($D67="","",IF([5]設定!$I43="",INDEX([5]第３表!$F$10:$Q$66,MATCH([5]設定!$D43,[5]第３表!$C$10:$C$66,0),3),[5]設定!$I43))</f>
        <v>146.80000000000001</v>
      </c>
      <c r="H67" s="55">
        <f>IF($D67="","",IF([5]設定!$I43="",INDEX([5]第３表!$F$10:$Q$66,MATCH([5]設定!$D43,[5]第３表!$C$10:$C$66,0),4),[5]設定!$I43))</f>
        <v>14.7</v>
      </c>
      <c r="I67" s="52">
        <f>IF($D67="","",IF([5]設定!$I43="",INDEX([5]第３表!$F$10:$Q$66,MATCH([5]設定!$D43,[5]第３表!$C$10:$C$66,0),5),[5]設定!$I43))</f>
        <v>19.399999999999999</v>
      </c>
      <c r="J67" s="52">
        <f>IF($D67="","",IF([5]設定!$I43="",INDEX([5]第３表!$F$10:$Q$66,MATCH([5]設定!$D43,[5]第３表!$C$10:$C$66,0),6),[5]設定!$I43))</f>
        <v>159.80000000000001</v>
      </c>
      <c r="K67" s="52">
        <f>IF($D67="","",IF([5]設定!$I43="",INDEX([5]第３表!$F$10:$Q$66,MATCH([5]設定!$D43,[5]第３表!$C$10:$C$66,0),7),[5]設定!$I43))</f>
        <v>143.1</v>
      </c>
      <c r="L67" s="55">
        <f>IF($D67="","",IF([5]設定!$I43="",INDEX([5]第３表!$F$10:$Q$66,MATCH([5]設定!$D43,[5]第３表!$C$10:$C$66,0),8),[5]設定!$I43))</f>
        <v>16.7</v>
      </c>
      <c r="M67" s="52">
        <f>IF($D67="","",IF([5]設定!$I43="",INDEX([5]第３表!$F$10:$Q$66,MATCH([5]設定!$D43,[5]第３表!$C$10:$C$66,0),9),[5]設定!$I43))</f>
        <v>21.1</v>
      </c>
      <c r="N67" s="52">
        <f>IF($D67="","",IF([5]設定!$I43="",INDEX([5]第３表!$F$10:$Q$66,MATCH([5]設定!$D43,[5]第３表!$C$10:$C$66,0),10),[5]設定!$I43))</f>
        <v>166.1</v>
      </c>
      <c r="O67" s="52">
        <f>IF($D67="","",IF([5]設定!$I43="",INDEX([5]第３表!$F$10:$Q$66,MATCH([5]設定!$D43,[5]第３表!$C$10:$C$66,0),11),[5]設定!$I43))</f>
        <v>156.9</v>
      </c>
      <c r="P67" s="55">
        <f>IF($D67="","",IF([5]設定!$I43="",INDEX([5]第３表!$F$10:$Q$66,MATCH([5]設定!$D43,[5]第３表!$C$10:$C$66,0),12),[5]設定!$I43))</f>
        <v>9.1999999999999993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IF($D68="","",IF([5]設定!$I44="",INDEX([5]第３表!$F$10:$Q$66,MATCH([5]設定!$D44,[5]第３表!$C$10:$C$66,0),1),[5]設定!$I44))</f>
        <v>19.899999999999999</v>
      </c>
      <c r="F68" s="52">
        <f>IF($D68="","",IF([5]設定!$I44="",INDEX([5]第３表!$F$10:$Q$66,MATCH([5]設定!$D44,[5]第３表!$C$10:$C$66,0),2),[5]設定!$I44))</f>
        <v>164</v>
      </c>
      <c r="G68" s="52">
        <f>IF($D68="","",IF([5]設定!$I44="",INDEX([5]第３表!$F$10:$Q$66,MATCH([5]設定!$D44,[5]第３表!$C$10:$C$66,0),3),[5]設定!$I44))</f>
        <v>145.9</v>
      </c>
      <c r="H68" s="55">
        <f>IF($D68="","",IF([5]設定!$I44="",INDEX([5]第３表!$F$10:$Q$66,MATCH([5]設定!$D44,[5]第３表!$C$10:$C$66,0),4),[5]設定!$I44))</f>
        <v>18.100000000000001</v>
      </c>
      <c r="I68" s="52">
        <f>IF($D68="","",IF([5]設定!$I44="",INDEX([5]第３表!$F$10:$Q$66,MATCH([5]設定!$D44,[5]第３表!$C$10:$C$66,0),5),[5]設定!$I44))</f>
        <v>20</v>
      </c>
      <c r="J68" s="52">
        <f>IF($D68="","",IF([5]設定!$I44="",INDEX([5]第３表!$F$10:$Q$66,MATCH([5]設定!$D44,[5]第３表!$C$10:$C$66,0),6),[5]設定!$I44))</f>
        <v>165.3</v>
      </c>
      <c r="K68" s="52">
        <f>IF($D68="","",IF([5]設定!$I44="",INDEX([5]第３表!$F$10:$Q$66,MATCH([5]設定!$D44,[5]第３表!$C$10:$C$66,0),7),[5]設定!$I44))</f>
        <v>146.30000000000001</v>
      </c>
      <c r="L68" s="55">
        <f>IF($D68="","",IF([5]設定!$I44="",INDEX([5]第３表!$F$10:$Q$66,MATCH([5]設定!$D44,[5]第３表!$C$10:$C$66,0),8),[5]設定!$I44))</f>
        <v>19</v>
      </c>
      <c r="M68" s="52">
        <f>IF($D68="","",IF([5]設定!$I44="",INDEX([5]第３表!$F$10:$Q$66,MATCH([5]設定!$D44,[5]第３表!$C$10:$C$66,0),9),[5]設定!$I44))</f>
        <v>18.899999999999999</v>
      </c>
      <c r="N68" s="52">
        <f>IF($D68="","",IF([5]設定!$I44="",INDEX([5]第３表!$F$10:$Q$66,MATCH([5]設定!$D44,[5]第３表!$C$10:$C$66,0),10),[5]設定!$I44))</f>
        <v>146.6</v>
      </c>
      <c r="O68" s="52">
        <f>IF($D68="","",IF([5]設定!$I44="",INDEX([5]第３表!$F$10:$Q$66,MATCH([5]設定!$D44,[5]第３表!$C$10:$C$66,0),11),[5]設定!$I44))</f>
        <v>141</v>
      </c>
      <c r="P68" s="55">
        <f>IF($D68="","",IF([5]設定!$I44="",INDEX([5]第３表!$F$10:$Q$66,MATCH([5]設定!$D44,[5]第３表!$C$10:$C$66,0),12),[5]設定!$I44))</f>
        <v>5.6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IF($D69="","",IF([5]設定!$I45="",INDEX([5]第３表!$F$10:$Q$66,MATCH([5]設定!$D45,[5]第３表!$C$10:$C$66,0),1),[5]設定!$I45))</f>
        <v>21.1</v>
      </c>
      <c r="F69" s="52">
        <f>IF($D69="","",IF([5]設定!$I45="",INDEX([5]第３表!$F$10:$Q$66,MATCH([5]設定!$D45,[5]第３表!$C$10:$C$66,0),2),[5]設定!$I45))</f>
        <v>169.1</v>
      </c>
      <c r="G69" s="52">
        <f>IF($D69="","",IF([5]設定!$I45="",INDEX([5]第３表!$F$10:$Q$66,MATCH([5]設定!$D45,[5]第３表!$C$10:$C$66,0),3),[5]設定!$I45))</f>
        <v>157.80000000000001</v>
      </c>
      <c r="H69" s="55">
        <f>IF($D69="","",IF([5]設定!$I45="",INDEX([5]第３表!$F$10:$Q$66,MATCH([5]設定!$D45,[5]第３表!$C$10:$C$66,0),4),[5]設定!$I45))</f>
        <v>11.3</v>
      </c>
      <c r="I69" s="52">
        <f>IF($D69="","",IF([5]設定!$I45="",INDEX([5]第３表!$F$10:$Q$66,MATCH([5]設定!$D45,[5]第３表!$C$10:$C$66,0),5),[5]設定!$I45))</f>
        <v>21.4</v>
      </c>
      <c r="J69" s="52">
        <f>IF($D69="","",IF([5]設定!$I45="",INDEX([5]第３表!$F$10:$Q$66,MATCH([5]設定!$D45,[5]第３表!$C$10:$C$66,0),6),[5]設定!$I45))</f>
        <v>178.8</v>
      </c>
      <c r="K69" s="52">
        <f>IF($D69="","",IF([5]設定!$I45="",INDEX([5]第３表!$F$10:$Q$66,MATCH([5]設定!$D45,[5]第３表!$C$10:$C$66,0),7),[5]設定!$I45))</f>
        <v>164.1</v>
      </c>
      <c r="L69" s="55">
        <f>IF($D69="","",IF([5]設定!$I45="",INDEX([5]第３表!$F$10:$Q$66,MATCH([5]設定!$D45,[5]第３表!$C$10:$C$66,0),8),[5]設定!$I45))</f>
        <v>14.7</v>
      </c>
      <c r="M69" s="52">
        <f>IF($D69="","",IF([5]設定!$I45="",INDEX([5]第３表!$F$10:$Q$66,MATCH([5]設定!$D45,[5]第３表!$C$10:$C$66,0),9),[5]設定!$I45))</f>
        <v>20.100000000000001</v>
      </c>
      <c r="N69" s="52">
        <f>IF($D69="","",IF([5]設定!$I45="",INDEX([5]第３表!$F$10:$Q$66,MATCH([5]設定!$D45,[5]第３表!$C$10:$C$66,0),10),[5]設定!$I45))</f>
        <v>139.80000000000001</v>
      </c>
      <c r="O69" s="52">
        <f>IF($D69="","",IF([5]設定!$I45="",INDEX([5]第３表!$F$10:$Q$66,MATCH([5]設定!$D45,[5]第３表!$C$10:$C$66,0),11),[5]設定!$I45))</f>
        <v>138.69999999999999</v>
      </c>
      <c r="P69" s="55">
        <f>IF($D69="","",IF([5]設定!$I45="",INDEX([5]第３表!$F$10:$Q$66,MATCH([5]設定!$D45,[5]第３表!$C$10:$C$66,0),12),[5]設定!$I45))</f>
        <v>1.1000000000000001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IF($D70="","",IF([5]設定!$I46="",INDEX([5]第３表!$F$10:$Q$66,MATCH([5]設定!$D46,[5]第３表!$C$10:$C$66,0),1),[5]設定!$I46))</f>
        <v>21.1</v>
      </c>
      <c r="F70" s="52">
        <f>IF($D70="","",IF([5]設定!$I46="",INDEX([5]第３表!$F$10:$Q$66,MATCH([5]設定!$D46,[5]第３表!$C$10:$C$66,0),2),[5]設定!$I46))</f>
        <v>177.7</v>
      </c>
      <c r="G70" s="52">
        <f>IF($D70="","",IF([5]設定!$I46="",INDEX([5]第３表!$F$10:$Q$66,MATCH([5]設定!$D46,[5]第３表!$C$10:$C$66,0),3),[5]設定!$I46))</f>
        <v>154.69999999999999</v>
      </c>
      <c r="H70" s="55">
        <f>IF($D70="","",IF([5]設定!$I46="",INDEX([5]第３表!$F$10:$Q$66,MATCH([5]設定!$D46,[5]第３表!$C$10:$C$66,0),4),[5]設定!$I46))</f>
        <v>23</v>
      </c>
      <c r="I70" s="52">
        <f>IF($D70="","",IF([5]設定!$I46="",INDEX([5]第３表!$F$10:$Q$66,MATCH([5]設定!$D46,[5]第３表!$C$10:$C$66,0),5),[5]設定!$I46))</f>
        <v>21.3</v>
      </c>
      <c r="J70" s="52">
        <f>IF($D70="","",IF([5]設定!$I46="",INDEX([5]第３表!$F$10:$Q$66,MATCH([5]設定!$D46,[5]第３表!$C$10:$C$66,0),6),[5]設定!$I46))</f>
        <v>180.8</v>
      </c>
      <c r="K70" s="52">
        <f>IF($D70="","",IF([5]設定!$I46="",INDEX([5]第３表!$F$10:$Q$66,MATCH([5]設定!$D46,[5]第３表!$C$10:$C$66,0),7),[5]設定!$I46))</f>
        <v>155.5</v>
      </c>
      <c r="L70" s="55">
        <f>IF($D70="","",IF([5]設定!$I46="",INDEX([5]第３表!$F$10:$Q$66,MATCH([5]設定!$D46,[5]第３表!$C$10:$C$66,0),8),[5]設定!$I46))</f>
        <v>25.3</v>
      </c>
      <c r="M70" s="52">
        <f>IF($D70="","",IF([5]設定!$I46="",INDEX([5]第３表!$F$10:$Q$66,MATCH([5]設定!$D46,[5]第３表!$C$10:$C$66,0),9),[5]設定!$I46))</f>
        <v>19.600000000000001</v>
      </c>
      <c r="N70" s="52">
        <f>IF($D70="","",IF([5]設定!$I46="",INDEX([5]第３表!$F$10:$Q$66,MATCH([5]設定!$D46,[5]第３表!$C$10:$C$66,0),10),[5]設定!$I46))</f>
        <v>157.30000000000001</v>
      </c>
      <c r="O70" s="52">
        <f>IF($D70="","",IF([5]設定!$I46="",INDEX([5]第３表!$F$10:$Q$66,MATCH([5]設定!$D46,[5]第３表!$C$10:$C$66,0),11),[5]設定!$I46))</f>
        <v>149.69999999999999</v>
      </c>
      <c r="P70" s="55">
        <f>IF($D70="","",IF([5]設定!$I46="",INDEX([5]第３表!$F$10:$Q$66,MATCH([5]設定!$D46,[5]第３表!$C$10:$C$66,0),12),[5]設定!$I46))</f>
        <v>7.6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IF($D71="","",IF([5]設定!$I47="",INDEX([5]第３表!$F$10:$Q$66,MATCH([5]設定!$D47,[5]第３表!$C$10:$C$66,0),1),[5]設定!$I47))</f>
        <v>18.899999999999999</v>
      </c>
      <c r="F71" s="52">
        <f>IF($D71="","",IF([5]設定!$I47="",INDEX([5]第３表!$F$10:$Q$66,MATCH([5]設定!$D47,[5]第３表!$C$10:$C$66,0),2),[5]設定!$I47))</f>
        <v>145.6</v>
      </c>
      <c r="G71" s="52">
        <f>IF($D71="","",IF([5]設定!$I47="",INDEX([5]第３表!$F$10:$Q$66,MATCH([5]設定!$D47,[5]第３表!$C$10:$C$66,0),3),[5]設定!$I47))</f>
        <v>142.1</v>
      </c>
      <c r="H71" s="55">
        <f>IF($D71="","",IF([5]設定!$I47="",INDEX([5]第３表!$F$10:$Q$66,MATCH([5]設定!$D47,[5]第３表!$C$10:$C$66,0),4),[5]設定!$I47))</f>
        <v>3.5</v>
      </c>
      <c r="I71" s="52">
        <f>IF($D71="","",IF([5]設定!$I47="",INDEX([5]第３表!$F$10:$Q$66,MATCH([5]設定!$D47,[5]第３表!$C$10:$C$66,0),5),[5]設定!$I47))</f>
        <v>19</v>
      </c>
      <c r="J71" s="52">
        <f>IF($D71="","",IF([5]設定!$I47="",INDEX([5]第３表!$F$10:$Q$66,MATCH([5]設定!$D47,[5]第３表!$C$10:$C$66,0),6),[5]設定!$I47))</f>
        <v>152.5</v>
      </c>
      <c r="K71" s="52">
        <f>IF($D71="","",IF([5]設定!$I47="",INDEX([5]第３表!$F$10:$Q$66,MATCH([5]設定!$D47,[5]第３表!$C$10:$C$66,0),7),[5]設定!$I47))</f>
        <v>148.30000000000001</v>
      </c>
      <c r="L71" s="55">
        <f>IF($D71="","",IF([5]設定!$I47="",INDEX([5]第３表!$F$10:$Q$66,MATCH([5]設定!$D47,[5]第３表!$C$10:$C$66,0),8),[5]設定!$I47))</f>
        <v>4.2</v>
      </c>
      <c r="M71" s="52">
        <f>IF($D71="","",IF([5]設定!$I47="",INDEX([5]第３表!$F$10:$Q$66,MATCH([5]設定!$D47,[5]第３表!$C$10:$C$66,0),9),[5]設定!$I47))</f>
        <v>18.7</v>
      </c>
      <c r="N71" s="52">
        <f>IF($D71="","",IF([5]設定!$I47="",INDEX([5]第３表!$F$10:$Q$66,MATCH([5]設定!$D47,[5]第３表!$C$10:$C$66,0),10),[5]設定!$I47))</f>
        <v>125.3</v>
      </c>
      <c r="O71" s="52">
        <f>IF($D71="","",IF([5]設定!$I47="",INDEX([5]第３表!$F$10:$Q$66,MATCH([5]設定!$D47,[5]第３表!$C$10:$C$66,0),11),[5]設定!$I47))</f>
        <v>123.9</v>
      </c>
      <c r="P71" s="55">
        <f>IF($D71="","",IF([5]設定!$I47="",INDEX([5]第３表!$F$10:$Q$66,MATCH([5]設定!$D47,[5]第３表!$C$10:$C$66,0),12),[5]設定!$I47))</f>
        <v>1.4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IF($D72="","",IF([5]設定!$I48="",INDEX([5]第３表!$F$10:$Q$66,MATCH([5]設定!$D48,[5]第３表!$C$10:$C$66,0),1),[5]設定!$I48))</f>
        <v>19.2</v>
      </c>
      <c r="F72" s="55">
        <f>IF($D72="","",IF([5]設定!$I48="",INDEX([5]第３表!$F$10:$Q$66,MATCH([5]設定!$D48,[5]第３表!$C$10:$C$66,0),2),[5]設定!$I48))</f>
        <v>164.8</v>
      </c>
      <c r="G72" s="55">
        <f>IF($D72="","",IF([5]設定!$I48="",INDEX([5]第３表!$F$10:$Q$66,MATCH([5]設定!$D48,[5]第３表!$C$10:$C$66,0),3),[5]設定!$I48))</f>
        <v>146.1</v>
      </c>
      <c r="H72" s="55">
        <f>IF($D72="","",IF([5]設定!$I48="",INDEX([5]第３表!$F$10:$Q$66,MATCH([5]設定!$D48,[5]第３表!$C$10:$C$66,0),4),[5]設定!$I48))</f>
        <v>18.7</v>
      </c>
      <c r="I72" s="55">
        <f>IF($D72="","",IF([5]設定!$I48="",INDEX([5]第３表!$F$10:$Q$66,MATCH([5]設定!$D48,[5]第３表!$C$10:$C$66,0),5),[5]設定!$I48))</f>
        <v>19</v>
      </c>
      <c r="J72" s="55">
        <f>IF($D72="","",IF([5]設定!$I48="",INDEX([5]第３表!$F$10:$Q$66,MATCH([5]設定!$D48,[5]第３表!$C$10:$C$66,0),6),[5]設定!$I48))</f>
        <v>166.1</v>
      </c>
      <c r="K72" s="55">
        <f>IF($D72="","",IF([5]設定!$I48="",INDEX([5]第３表!$F$10:$Q$66,MATCH([5]設定!$D48,[5]第３表!$C$10:$C$66,0),7),[5]設定!$I48))</f>
        <v>144.6</v>
      </c>
      <c r="L72" s="55">
        <f>IF($D72="","",IF([5]設定!$I48="",INDEX([5]第３表!$F$10:$Q$66,MATCH([5]設定!$D48,[5]第３表!$C$10:$C$66,0),8),[5]設定!$I48))</f>
        <v>21.5</v>
      </c>
      <c r="M72" s="55">
        <f>IF($D72="","",IF([5]設定!$I48="",INDEX([5]第３表!$F$10:$Q$66,MATCH([5]設定!$D48,[5]第３表!$C$10:$C$66,0),9),[5]設定!$I48))</f>
        <v>20.3</v>
      </c>
      <c r="N72" s="55">
        <f>IF($D72="","",IF([5]設定!$I48="",INDEX([5]第３表!$F$10:$Q$66,MATCH([5]設定!$D48,[5]第３表!$C$10:$C$66,0),10),[5]設定!$I48))</f>
        <v>158.1</v>
      </c>
      <c r="O72" s="55">
        <f>IF($D72="","",IF([5]設定!$I48="",INDEX([5]第３表!$F$10:$Q$66,MATCH([5]設定!$D48,[5]第３表!$C$10:$C$66,0),11),[5]設定!$I48))</f>
        <v>153.80000000000001</v>
      </c>
      <c r="P72" s="55">
        <f>IF($D72="","",IF([5]設定!$I48="",INDEX([5]第３表!$F$10:$Q$66,MATCH([5]設定!$D48,[5]第３表!$C$10:$C$66,0),12),[5]設定!$I48))</f>
        <v>4.3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IF($D73="","",IF([5]設定!$I49="",INDEX([5]第３表!$F$10:$Q$66,MATCH([5]設定!$D49,[5]第３表!$C$10:$C$66,0),1),[5]設定!$I49))</f>
        <v>18.5</v>
      </c>
      <c r="F73" s="55">
        <f>IF($D73="","",IF([5]設定!$I49="",INDEX([5]第３表!$F$10:$Q$66,MATCH([5]設定!$D49,[5]第３表!$C$10:$C$66,0),2),[5]設定!$I49))</f>
        <v>153.80000000000001</v>
      </c>
      <c r="G73" s="55">
        <f>IF($D73="","",IF([5]設定!$I49="",INDEX([5]第３表!$F$10:$Q$66,MATCH([5]設定!$D49,[5]第３表!$C$10:$C$66,0),3),[5]設定!$I49))</f>
        <v>145.19999999999999</v>
      </c>
      <c r="H73" s="55">
        <f>IF($D73="","",IF([5]設定!$I49="",INDEX([5]第３表!$F$10:$Q$66,MATCH([5]設定!$D49,[5]第３表!$C$10:$C$66,0),4),[5]設定!$I49))</f>
        <v>8.6</v>
      </c>
      <c r="I73" s="55">
        <f>IF($D73="","",IF([5]設定!$I49="",INDEX([5]第３表!$F$10:$Q$66,MATCH([5]設定!$D49,[5]第３表!$C$10:$C$66,0),5),[5]設定!$I49))</f>
        <v>19.3</v>
      </c>
      <c r="J73" s="55">
        <f>IF($D73="","",IF([5]設定!$I49="",INDEX([5]第３表!$F$10:$Q$66,MATCH([5]設定!$D49,[5]第３表!$C$10:$C$66,0),6),[5]設定!$I49))</f>
        <v>161.4</v>
      </c>
      <c r="K73" s="55">
        <f>IF($D73="","",IF([5]設定!$I49="",INDEX([5]第３表!$F$10:$Q$66,MATCH([5]設定!$D49,[5]第３表!$C$10:$C$66,0),7),[5]設定!$I49))</f>
        <v>149.9</v>
      </c>
      <c r="L73" s="55">
        <f>IF($D73="","",IF([5]設定!$I49="",INDEX([5]第３表!$F$10:$Q$66,MATCH([5]設定!$D49,[5]第３表!$C$10:$C$66,0),8),[5]設定!$I49))</f>
        <v>11.5</v>
      </c>
      <c r="M73" s="55">
        <f>IF($D73="","",IF([5]設定!$I49="",INDEX([5]第３表!$F$10:$Q$66,MATCH([5]設定!$D49,[5]第３表!$C$10:$C$66,0),9),[5]設定!$I49))</f>
        <v>17.600000000000001</v>
      </c>
      <c r="N73" s="55">
        <f>IF($D73="","",IF([5]設定!$I49="",INDEX([5]第３表!$F$10:$Q$66,MATCH([5]設定!$D49,[5]第３表!$C$10:$C$66,0),10),[5]設定!$I49))</f>
        <v>146.69999999999999</v>
      </c>
      <c r="O73" s="55">
        <f>IF($D73="","",IF([5]設定!$I49="",INDEX([5]第３表!$F$10:$Q$66,MATCH([5]設定!$D49,[5]第３表!$C$10:$C$66,0),11),[5]設定!$I49))</f>
        <v>140.80000000000001</v>
      </c>
      <c r="P73" s="55">
        <f>IF($D73="","",IF([5]設定!$I49="",INDEX([5]第３表!$F$10:$Q$66,MATCH([5]設定!$D49,[5]第３表!$C$10:$C$66,0),12),[5]設定!$I49))</f>
        <v>5.9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IF($D74="","",IF([5]設定!$I50="",INDEX([5]第３表!$F$10:$Q$66,MATCH([5]設定!$D50,[5]第３表!$C$10:$C$66,0),1),[5]設定!$I50))</f>
        <v>19.100000000000001</v>
      </c>
      <c r="F74" s="55">
        <f>IF($D74="","",IF([5]設定!$I50="",INDEX([5]第３表!$F$10:$Q$66,MATCH([5]設定!$D50,[5]第３表!$C$10:$C$66,0),2),[5]設定!$I50))</f>
        <v>163</v>
      </c>
      <c r="G74" s="55">
        <f>IF($D74="","",IF([5]設定!$I50="",INDEX([5]第３表!$F$10:$Q$66,MATCH([5]設定!$D50,[5]第３表!$C$10:$C$66,0),3),[5]設定!$I50))</f>
        <v>148.80000000000001</v>
      </c>
      <c r="H74" s="55">
        <f>IF($D74="","",IF([5]設定!$I50="",INDEX([5]第３表!$F$10:$Q$66,MATCH([5]設定!$D50,[5]第３表!$C$10:$C$66,0),4),[5]設定!$I50))</f>
        <v>14.2</v>
      </c>
      <c r="I74" s="55">
        <f>IF($D74="","",IF([5]設定!$I50="",INDEX([5]第３表!$F$10:$Q$66,MATCH([5]設定!$D50,[5]第３表!$C$10:$C$66,0),5),[5]設定!$I50))</f>
        <v>19.3</v>
      </c>
      <c r="J74" s="55">
        <f>IF($D74="","",IF([5]設定!$I50="",INDEX([5]第３表!$F$10:$Q$66,MATCH([5]設定!$D50,[5]第３表!$C$10:$C$66,0),6),[5]設定!$I50))</f>
        <v>170.8</v>
      </c>
      <c r="K74" s="55">
        <f>IF($D74="","",IF([5]設定!$I50="",INDEX([5]第３表!$F$10:$Q$66,MATCH([5]設定!$D50,[5]第３表!$C$10:$C$66,0),7),[5]設定!$I50))</f>
        <v>152.80000000000001</v>
      </c>
      <c r="L74" s="55">
        <f>IF($D74="","",IF([5]設定!$I50="",INDEX([5]第３表!$F$10:$Q$66,MATCH([5]設定!$D50,[5]第３表!$C$10:$C$66,0),8),[5]設定!$I50))</f>
        <v>18</v>
      </c>
      <c r="M74" s="55">
        <f>IF($D74="","",IF([5]設定!$I50="",INDEX([5]第３表!$F$10:$Q$66,MATCH([5]設定!$D50,[5]第３表!$C$10:$C$66,0),9),[5]設定!$I50))</f>
        <v>18.600000000000001</v>
      </c>
      <c r="N74" s="55">
        <f>IF($D74="","",IF([5]設定!$I50="",INDEX([5]第３表!$F$10:$Q$66,MATCH([5]設定!$D50,[5]第３表!$C$10:$C$66,0),10),[5]設定!$I50))</f>
        <v>147.69999999999999</v>
      </c>
      <c r="O74" s="55">
        <f>IF($D74="","",IF([5]設定!$I50="",INDEX([5]第３表!$F$10:$Q$66,MATCH([5]設定!$D50,[5]第３表!$C$10:$C$66,0),11),[5]設定!$I50))</f>
        <v>140.9</v>
      </c>
      <c r="P74" s="55">
        <f>IF($D74="","",IF([5]設定!$I50="",INDEX([5]第３表!$F$10:$Q$66,MATCH([5]設定!$D50,[5]第３表!$C$10:$C$66,0),12),[5]設定!$I50))</f>
        <v>6.8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IF($D75="","",IF([5]設定!$I51="",INDEX([5]第３表!$F$10:$Q$66,MATCH([5]設定!$D51,[5]第３表!$C$10:$C$66,0),1),[5]設定!$I51))</f>
        <v>19.3</v>
      </c>
      <c r="F75" s="55">
        <f>IF($D75="","",IF([5]設定!$I51="",INDEX([5]第３表!$F$10:$Q$66,MATCH([5]設定!$D51,[5]第３表!$C$10:$C$66,0),2),[5]設定!$I51))</f>
        <v>158.30000000000001</v>
      </c>
      <c r="G75" s="55">
        <f>IF($D75="","",IF([5]設定!$I51="",INDEX([5]第３表!$F$10:$Q$66,MATCH([5]設定!$D51,[5]第３表!$C$10:$C$66,0),3),[5]設定!$I51))</f>
        <v>146.80000000000001</v>
      </c>
      <c r="H75" s="55">
        <f>IF($D75="","",IF([5]設定!$I51="",INDEX([5]第３表!$F$10:$Q$66,MATCH([5]設定!$D51,[5]第３表!$C$10:$C$66,0),4),[5]設定!$I51))</f>
        <v>11.5</v>
      </c>
      <c r="I75" s="55">
        <f>IF($D75="","",IF([5]設定!$I51="",INDEX([5]第３表!$F$10:$Q$66,MATCH([5]設定!$D51,[5]第３表!$C$10:$C$66,0),5),[5]設定!$I51))</f>
        <v>19.399999999999999</v>
      </c>
      <c r="J75" s="55">
        <f>IF($D75="","",IF([5]設定!$I51="",INDEX([5]第３表!$F$10:$Q$66,MATCH([5]設定!$D51,[5]第３表!$C$10:$C$66,0),6),[5]設定!$I51))</f>
        <v>164.3</v>
      </c>
      <c r="K75" s="55">
        <f>IF($D75="","",IF([5]設定!$I51="",INDEX([5]第３表!$F$10:$Q$66,MATCH([5]設定!$D51,[5]第３表!$C$10:$C$66,0),7),[5]設定!$I51))</f>
        <v>149.30000000000001</v>
      </c>
      <c r="L75" s="55">
        <f>IF($D75="","",IF([5]設定!$I51="",INDEX([5]第３表!$F$10:$Q$66,MATCH([5]設定!$D51,[5]第３表!$C$10:$C$66,0),8),[5]設定!$I51))</f>
        <v>15</v>
      </c>
      <c r="M75" s="55">
        <f>IF($D75="","",IF([5]設定!$I51="",INDEX([5]第３表!$F$10:$Q$66,MATCH([5]設定!$D51,[5]第３表!$C$10:$C$66,0),9),[5]設定!$I51))</f>
        <v>19</v>
      </c>
      <c r="N75" s="55">
        <f>IF($D75="","",IF([5]設定!$I51="",INDEX([5]第３表!$F$10:$Q$66,MATCH([5]設定!$D51,[5]第３表!$C$10:$C$66,0),10),[5]設定!$I51))</f>
        <v>145.6</v>
      </c>
      <c r="O75" s="55">
        <f>IF($D75="","",IF([5]設定!$I51="",INDEX([5]第３表!$F$10:$Q$66,MATCH([5]設定!$D51,[5]第３表!$C$10:$C$66,0),11),[5]設定!$I51))</f>
        <v>141.5</v>
      </c>
      <c r="P75" s="55">
        <f>IF($D75="","",IF([5]設定!$I51="",INDEX([5]第３表!$F$10:$Q$66,MATCH([5]設定!$D51,[5]第３表!$C$10:$C$66,0),12),[5]設定!$I51))</f>
        <v>4.0999999999999996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IF($D76="","",IF([5]設定!$I52="",INDEX([5]第３表!$F$10:$Q$66,MATCH([5]設定!$D52,[5]第３表!$C$10:$C$66,0),1),[5]設定!$I52))</f>
        <v>20.8</v>
      </c>
      <c r="F76" s="55">
        <f>IF($D76="","",IF([5]設定!$I52="",INDEX([5]第３表!$F$10:$Q$66,MATCH([5]設定!$D52,[5]第３表!$C$10:$C$66,0),2),[5]設定!$I52))</f>
        <v>190.8</v>
      </c>
      <c r="G76" s="55">
        <f>IF($D76="","",IF([5]設定!$I52="",INDEX([5]第３表!$F$10:$Q$66,MATCH([5]設定!$D52,[5]第３表!$C$10:$C$66,0),3),[5]設定!$I52))</f>
        <v>168.4</v>
      </c>
      <c r="H76" s="55">
        <f>IF($D76="","",IF([5]設定!$I52="",INDEX([5]第３表!$F$10:$Q$66,MATCH([5]設定!$D52,[5]第３表!$C$10:$C$66,0),4),[5]設定!$I52))</f>
        <v>22.4</v>
      </c>
      <c r="I76" s="55">
        <f>IF($D76="","",IF([5]設定!$I52="",INDEX([5]第３表!$F$10:$Q$66,MATCH([5]設定!$D52,[5]第３表!$C$10:$C$66,0),5),[5]設定!$I52))</f>
        <v>20.9</v>
      </c>
      <c r="J76" s="55">
        <f>IF($D76="","",IF([5]設定!$I52="",INDEX([5]第３表!$F$10:$Q$66,MATCH([5]設定!$D52,[5]第３表!$C$10:$C$66,0),6),[5]設定!$I52))</f>
        <v>194.4</v>
      </c>
      <c r="K76" s="55">
        <f>IF($D76="","",IF([5]設定!$I52="",INDEX([5]第３表!$F$10:$Q$66,MATCH([5]設定!$D52,[5]第３表!$C$10:$C$66,0),7),[5]設定!$I52))</f>
        <v>169.7</v>
      </c>
      <c r="L76" s="55">
        <f>IF($D76="","",IF([5]設定!$I52="",INDEX([5]第３表!$F$10:$Q$66,MATCH([5]設定!$D52,[5]第３表!$C$10:$C$66,0),8),[5]設定!$I52))</f>
        <v>24.7</v>
      </c>
      <c r="M76" s="55">
        <f>IF($D76="","",IF([5]設定!$I52="",INDEX([5]第３表!$F$10:$Q$66,MATCH([5]設定!$D52,[5]第３表!$C$10:$C$66,0),9),[5]設定!$I52))</f>
        <v>20.7</v>
      </c>
      <c r="N76" s="55">
        <f>IF($D76="","",IF([5]設定!$I52="",INDEX([5]第３表!$F$10:$Q$66,MATCH([5]設定!$D52,[5]第３表!$C$10:$C$66,0),10),[5]設定!$I52))</f>
        <v>175.2</v>
      </c>
      <c r="O76" s="55">
        <f>IF($D76="","",IF([5]設定!$I52="",INDEX([5]第３表!$F$10:$Q$66,MATCH([5]設定!$D52,[5]第３表!$C$10:$C$66,0),11),[5]設定!$I52))</f>
        <v>162.5</v>
      </c>
      <c r="P76" s="55">
        <f>IF($D76="","",IF([5]設定!$I52="",INDEX([5]第３表!$F$10:$Q$66,MATCH([5]設定!$D52,[5]第３表!$C$10:$C$66,0),12),[5]設定!$I52))</f>
        <v>12.7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IF($D77="","",IF([5]設定!$I53="",INDEX([5]第３表!$F$10:$Q$66,MATCH([5]設定!$D53,[5]第３表!$C$10:$C$66,0),1),[5]設定!$I53))</f>
        <v>19.3</v>
      </c>
      <c r="F77" s="69">
        <f>IF($D77="","",IF([5]設定!$I53="",INDEX([5]第３表!$F$10:$Q$66,MATCH([5]設定!$D53,[5]第３表!$C$10:$C$66,0),2),[5]設定!$I53))</f>
        <v>168.8</v>
      </c>
      <c r="G77" s="69">
        <f>IF($D77="","",IF([5]設定!$I53="",INDEX([5]第３表!$F$10:$Q$66,MATCH([5]設定!$D53,[5]第３表!$C$10:$C$66,0),3),[5]設定!$I53))</f>
        <v>156.6</v>
      </c>
      <c r="H77" s="69">
        <f>IF($D77="","",IF([5]設定!$I53="",INDEX([5]第３表!$F$10:$Q$66,MATCH([5]設定!$D53,[5]第３表!$C$10:$C$66,0),4),[5]設定!$I53))</f>
        <v>12.2</v>
      </c>
      <c r="I77" s="69">
        <f>IF($D77="","",IF([5]設定!$I53="",INDEX([5]第３表!$F$10:$Q$66,MATCH([5]設定!$D53,[5]第３表!$C$10:$C$66,0),5),[5]設定!$I53))</f>
        <v>19.899999999999999</v>
      </c>
      <c r="J77" s="69">
        <f>IF($D77="","",IF([5]設定!$I53="",INDEX([5]第３表!$F$10:$Q$66,MATCH([5]設定!$D53,[5]第３表!$C$10:$C$66,0),6),[5]設定!$I53))</f>
        <v>177.2</v>
      </c>
      <c r="K77" s="69">
        <f>IF($D77="","",IF([5]設定!$I53="",INDEX([5]第３表!$F$10:$Q$66,MATCH([5]設定!$D53,[5]第３表!$C$10:$C$66,0),7),[5]設定!$I53))</f>
        <v>161.19999999999999</v>
      </c>
      <c r="L77" s="69">
        <f>IF($D77="","",IF([5]設定!$I53="",INDEX([5]第３表!$F$10:$Q$66,MATCH([5]設定!$D53,[5]第３表!$C$10:$C$66,0),8),[5]設定!$I53))</f>
        <v>16</v>
      </c>
      <c r="M77" s="69">
        <f>IF($D77="","",IF([5]設定!$I53="",INDEX([5]第３表!$F$10:$Q$66,MATCH([5]設定!$D53,[5]第３表!$C$10:$C$66,0),9),[5]設定!$I53))</f>
        <v>18.5</v>
      </c>
      <c r="N77" s="69">
        <f>IF($D77="","",IF([5]設定!$I53="",INDEX([5]第３表!$F$10:$Q$66,MATCH([5]設定!$D53,[5]第３表!$C$10:$C$66,0),10),[5]設定!$I53))</f>
        <v>156.30000000000001</v>
      </c>
      <c r="O77" s="69">
        <f>IF($D77="","",IF([5]設定!$I53="",INDEX([5]第３表!$F$10:$Q$66,MATCH([5]設定!$D53,[5]第３表!$C$10:$C$66,0),11),[5]設定!$I53))</f>
        <v>149.69999999999999</v>
      </c>
      <c r="P77" s="69">
        <f>IF($D77="","",IF([5]設定!$I53="",INDEX([5]第３表!$F$10:$Q$66,MATCH([5]設定!$D53,[5]第３表!$C$10:$C$66,0),12),[5]設定!$I53))</f>
        <v>6.6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IF($D78="","",IF([5]設定!$I54="",INDEX([5]第３表!$F$10:$Q$66,MATCH([5]設定!$D54,[5]第３表!$C$10:$C$66,0),1),[5]設定!$I54))</f>
        <v>19.600000000000001</v>
      </c>
      <c r="F78" s="73">
        <f>IF($D78="","",IF([5]設定!$I54="",INDEX([5]第３表!$F$10:$Q$66,MATCH([5]設定!$D54,[5]第３表!$C$10:$C$66,0),2),[5]設定!$I54))</f>
        <v>164.6</v>
      </c>
      <c r="G78" s="73">
        <f>IF($D78="","",IF([5]設定!$I54="",INDEX([5]第３表!$F$10:$Q$66,MATCH([5]設定!$D54,[5]第３表!$C$10:$C$66,0),3),[5]設定!$I54))</f>
        <v>154.30000000000001</v>
      </c>
      <c r="H78" s="73">
        <f>IF($D78="","",IF([5]設定!$I54="",INDEX([5]第３表!$F$10:$Q$66,MATCH([5]設定!$D54,[5]第３表!$C$10:$C$66,0),4),[5]設定!$I54))</f>
        <v>10.3</v>
      </c>
      <c r="I78" s="73">
        <f>IF($D78="","",IF([5]設定!$I54="",INDEX([5]第３表!$F$10:$Q$66,MATCH([5]設定!$D54,[5]第３表!$C$10:$C$66,0),5),[5]設定!$I54))</f>
        <v>20.2</v>
      </c>
      <c r="J78" s="73">
        <f>IF($D78="","",IF([5]設定!$I54="",INDEX([5]第３表!$F$10:$Q$66,MATCH([5]設定!$D54,[5]第３表!$C$10:$C$66,0),6),[5]設定!$I54))</f>
        <v>183</v>
      </c>
      <c r="K78" s="73">
        <f>IF($D78="","",IF([5]設定!$I54="",INDEX([5]第３表!$F$10:$Q$66,MATCH([5]設定!$D54,[5]第３表!$C$10:$C$66,0),7),[5]設定!$I54))</f>
        <v>166.8</v>
      </c>
      <c r="L78" s="73">
        <f>IF($D78="","",IF([5]設定!$I54="",INDEX([5]第３表!$F$10:$Q$66,MATCH([5]設定!$D54,[5]第３表!$C$10:$C$66,0),8),[5]設定!$I54))</f>
        <v>16.2</v>
      </c>
      <c r="M78" s="73">
        <f>IF($D78="","",IF([5]設定!$I54="",INDEX([5]第３表!$F$10:$Q$66,MATCH([5]設定!$D54,[5]第３表!$C$10:$C$66,0),9),[5]設定!$I54))</f>
        <v>19.100000000000001</v>
      </c>
      <c r="N78" s="73">
        <f>IF($D78="","",IF([5]設定!$I54="",INDEX([5]第３表!$F$10:$Q$66,MATCH([5]設定!$D54,[5]第３表!$C$10:$C$66,0),10),[5]設定!$I54))</f>
        <v>149.1</v>
      </c>
      <c r="O78" s="73">
        <f>IF($D78="","",IF([5]設定!$I54="",INDEX([5]第３表!$F$10:$Q$66,MATCH([5]設定!$D54,[5]第３表!$C$10:$C$66,0),11),[5]設定!$I54))</f>
        <v>143.80000000000001</v>
      </c>
      <c r="P78" s="73">
        <f>IF($D78="","",IF([5]設定!$I54="",INDEX([5]第３表!$F$10:$Q$66,MATCH([5]設定!$D54,[5]第３表!$C$10:$C$66,0),12),[5]設定!$I54))</f>
        <v>5.3</v>
      </c>
    </row>
  </sheetData>
  <phoneticPr fontId="2"/>
  <printOptions horizontalCentered="1"/>
  <pageMargins left="0.59055118110236227" right="0.59055118110236227" top="0.35433070866141736" bottom="0.59055118110236227" header="0" footer="0.59055118110236227"/>
  <pageSetup paperSize="9" scale="59" orientation="portrait" blackAndWhite="1" cellComments="atEnd" horizontalDpi="300" verticalDpi="300" r:id="rId1"/>
  <headerFooter scaleWithDoc="0" alignWithMargins="0">
    <oddFooter>&amp;C- 15 -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C70C-6CCC-49D9-90F9-833D7632EA92}">
  <sheetPr codeName="Sheet9"/>
  <dimension ref="A1:R78"/>
  <sheetViews>
    <sheetView showGridLines="0" view="pageBreakPreview" topLeftCell="A59" zoomScale="80" zoomScaleNormal="80" zoomScaleSheetLayoutView="80" workbookViewId="0">
      <selection activeCell="G84" sqref="G84:G87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3.1992187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（"&amp;[7]設定!D8&amp;DBCS([7]設定!E8)&amp;"年"&amp;DBCS([7]設定!F8)&amp;"月）"</f>
        <v>　　    （令和５年４月）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+[8]第５表!B9</f>
        <v>TL</v>
      </c>
      <c r="C9" s="46"/>
      <c r="D9" s="47" t="str">
        <f>+[8]第５表!D9</f>
        <v>調査産業計</v>
      </c>
      <c r="E9" s="48">
        <f>IF($D9="","",IF([7]設定!$H23="",INDEX([7]第３表!$F$80:$Q$136,MATCH([7]設定!$D23,[7]第３表!$C$80:$C$136,0),1),[7]設定!$H23))</f>
        <v>18.899999999999999</v>
      </c>
      <c r="F9" s="48">
        <f>IF($D9="","",IF([7]設定!$H23="",INDEX([7]第３表!$F$80:$Q$136,MATCH([7]設定!$D23,[7]第３表!$C$80:$C$136,0),2),[7]設定!$H23))</f>
        <v>145.30000000000001</v>
      </c>
      <c r="G9" s="48">
        <f>IF($D9="","",IF([7]設定!$H23="",INDEX([7]第３表!$F$80:$Q$136,MATCH([7]設定!$D23,[7]第３表!$C$80:$C$136,0),3),[7]設定!$H23))</f>
        <v>135.19999999999999</v>
      </c>
      <c r="H9" s="48">
        <f>IF($D9="","",IF([7]設定!$H23="",INDEX([7]第３表!$F$80:$Q$136,MATCH([7]設定!$D23,[7]第３表!$C$80:$C$136,0),4),[7]設定!$H23))</f>
        <v>10.1</v>
      </c>
      <c r="I9" s="48">
        <f>IF($D9="","",IF([7]設定!$H23="",INDEX([7]第３表!$F$80:$Q$136,MATCH([7]設定!$D23,[7]第３表!$C$80:$C$136,0),5),[7]設定!$H23))</f>
        <v>19.600000000000001</v>
      </c>
      <c r="J9" s="48">
        <f>IF($D9="","",IF([7]設定!$H23="",INDEX([7]第３表!$F$80:$Q$136,MATCH([7]設定!$D23,[7]第３表!$C$80:$C$136,0),6),[7]設定!$H23))</f>
        <v>160.69999999999999</v>
      </c>
      <c r="K9" s="48">
        <f>IF($D9="","",IF([7]設定!$H23="",INDEX([7]第３表!$F$80:$Q$136,MATCH([7]設定!$D23,[7]第３表!$C$80:$C$136,0),7),[7]設定!$H23))</f>
        <v>145.9</v>
      </c>
      <c r="L9" s="48">
        <f>IF($D9="","",IF([7]設定!$H23="",INDEX([7]第３表!$F$80:$Q$136,MATCH([7]設定!$D23,[7]第３表!$C$80:$C$136,0),8),[7]設定!$H23))</f>
        <v>14.8</v>
      </c>
      <c r="M9" s="48">
        <f>IF($D9="","",IF([7]設定!$H23="",INDEX([7]第３表!$F$80:$Q$136,MATCH([7]設定!$D23,[7]第３表!$C$80:$C$136,0),9),[7]設定!$H23))</f>
        <v>18.2</v>
      </c>
      <c r="N9" s="48">
        <f>IF($D9="","",IF([7]設定!$H23="",INDEX([7]第３表!$F$80:$Q$136,MATCH([7]設定!$D23,[7]第３表!$C$80:$C$136,0),10),[7]設定!$H23))</f>
        <v>130.1</v>
      </c>
      <c r="O9" s="48">
        <f>IF($D9="","",IF([7]設定!$H23="",INDEX([7]第３表!$F$80:$Q$136,MATCH([7]設定!$D23,[7]第３表!$C$80:$C$136,0),11),[7]設定!$H23))</f>
        <v>124.6</v>
      </c>
      <c r="P9" s="48">
        <f>IF($D9="","",IF([7]設定!$H23="",INDEX([7]第３表!$F$80:$Q$136,MATCH([7]設定!$D23,[7]第３表!$C$80:$C$136,0),12),[7]設定!$H23))</f>
        <v>5.5</v>
      </c>
    </row>
    <row r="10" spans="1:18" s="8" customFormat="1" ht="17.25" customHeight="1" x14ac:dyDescent="0.45">
      <c r="B10" s="49" t="str">
        <f>+[8]第５表!B10</f>
        <v>D</v>
      </c>
      <c r="C10" s="50"/>
      <c r="D10" s="51" t="str">
        <f>+[8]第５表!D10</f>
        <v>建設業</v>
      </c>
      <c r="E10" s="52">
        <f>IF($D10="","",IF([7]設定!$H24="",INDEX([7]第３表!$F$80:$Q$136,MATCH([7]設定!$D24,[7]第３表!$C$80:$C$136,0),1),[7]設定!$H24))</f>
        <v>21.4</v>
      </c>
      <c r="F10" s="52">
        <f>IF($D10="","",IF([7]設定!$H24="",INDEX([7]第３表!$F$80:$Q$136,MATCH([7]設定!$D24,[7]第３表!$C$80:$C$136,0),2),[7]設定!$H24))</f>
        <v>163</v>
      </c>
      <c r="G10" s="52">
        <f>IF($D10="","",IF([7]設定!$H24="",INDEX([7]第３表!$F$80:$Q$136,MATCH([7]設定!$D24,[7]第３表!$C$80:$C$136,0),3),[7]設定!$H24))</f>
        <v>156.19999999999999</v>
      </c>
      <c r="H10" s="53">
        <f>IF($D10="","",IF([7]設定!$H24="",INDEX([7]第３表!$F$80:$Q$136,MATCH([7]設定!$D24,[7]第３表!$C$80:$C$136,0),4),[7]設定!$H24))</f>
        <v>6.8</v>
      </c>
      <c r="I10" s="54">
        <f>IF($D10="","",IF([7]設定!$H24="",INDEX([7]第３表!$F$80:$Q$136,MATCH([7]設定!$D24,[7]第３表!$C$80:$C$136,0),5),[7]設定!$H24))</f>
        <v>21.7</v>
      </c>
      <c r="J10" s="54">
        <f>IF($D10="","",IF([7]設定!$H24="",INDEX([7]第３表!$F$80:$Q$136,MATCH([7]設定!$D24,[7]第３表!$C$80:$C$136,0),6),[7]設定!$H24))</f>
        <v>168.2</v>
      </c>
      <c r="K10" s="54">
        <f>IF($D10="","",IF([7]設定!$H24="",INDEX([7]第３表!$F$80:$Q$136,MATCH([7]設定!$D24,[7]第３表!$C$80:$C$136,0),7),[7]設定!$H24))</f>
        <v>160.5</v>
      </c>
      <c r="L10" s="55">
        <f>IF($D10="","",IF([7]設定!$H24="",INDEX([7]第３表!$F$80:$Q$136,MATCH([7]設定!$D24,[7]第３表!$C$80:$C$136,0),8),[7]設定!$H24))</f>
        <v>7.7</v>
      </c>
      <c r="M10" s="56">
        <f>IF($D10="","",IF([7]設定!$H24="",INDEX([7]第３表!$F$80:$Q$136,MATCH([7]設定!$D24,[7]第３表!$C$80:$C$136,0),9),[7]設定!$H24))</f>
        <v>20.100000000000001</v>
      </c>
      <c r="N10" s="56">
        <f>IF($D10="","",IF([7]設定!$H24="",INDEX([7]第３表!$F$80:$Q$136,MATCH([7]設定!$D24,[7]第３表!$C$80:$C$136,0),10),[7]設定!$H24))</f>
        <v>135.9</v>
      </c>
      <c r="O10" s="56">
        <f>IF($D10="","",IF([7]設定!$H24="",INDEX([7]第３表!$F$80:$Q$136,MATCH([7]設定!$D24,[7]第３表!$C$80:$C$136,0),11),[7]設定!$H24))</f>
        <v>133.6</v>
      </c>
      <c r="P10" s="57">
        <f>IF($D10="","",IF([7]設定!$H24="",INDEX([7]第３表!$F$80:$Q$136,MATCH([7]設定!$D24,[7]第３表!$C$80:$C$136,0),12),[7]設定!$H24))</f>
        <v>2.2999999999999998</v>
      </c>
    </row>
    <row r="11" spans="1:18" s="8" customFormat="1" ht="17.25" customHeight="1" x14ac:dyDescent="0.45">
      <c r="B11" s="49" t="str">
        <f>+[8]第５表!B11</f>
        <v>E</v>
      </c>
      <c r="C11" s="50"/>
      <c r="D11" s="51" t="str">
        <f>+[8]第５表!D11</f>
        <v>製造業</v>
      </c>
      <c r="E11" s="52">
        <f>IF($D11="","",IF([7]設定!$H25="",INDEX([7]第３表!$F$80:$Q$136,MATCH([7]設定!$D25,[7]第３表!$C$80:$C$136,0),1),[7]設定!$H25))</f>
        <v>20</v>
      </c>
      <c r="F11" s="52">
        <f>IF($D11="","",IF([7]設定!$H25="",INDEX([7]第３表!$F$80:$Q$136,MATCH([7]設定!$D25,[7]第３表!$C$80:$C$136,0),2),[7]設定!$H25))</f>
        <v>162.6</v>
      </c>
      <c r="G11" s="52">
        <f>IF($D11="","",IF([7]設定!$H25="",INDEX([7]第３表!$F$80:$Q$136,MATCH([7]設定!$D25,[7]第３表!$C$80:$C$136,0),3),[7]設定!$H25))</f>
        <v>149.19999999999999</v>
      </c>
      <c r="H11" s="53">
        <f>IF($D11="","",IF([7]設定!$H25="",INDEX([7]第３表!$F$80:$Q$136,MATCH([7]設定!$D25,[7]第３表!$C$80:$C$136,0),4),[7]設定!$H25))</f>
        <v>13.4</v>
      </c>
      <c r="I11" s="54">
        <f>IF($D11="","",IF([7]設定!$H25="",INDEX([7]第３表!$F$80:$Q$136,MATCH([7]設定!$D25,[7]第３表!$C$80:$C$136,0),5),[7]設定!$H25))</f>
        <v>20.2</v>
      </c>
      <c r="J11" s="54">
        <f>IF($D11="","",IF([7]設定!$H25="",INDEX([7]第３表!$F$80:$Q$136,MATCH([7]設定!$D25,[7]第３表!$C$80:$C$136,0),6),[7]設定!$H25))</f>
        <v>171.4</v>
      </c>
      <c r="K11" s="54">
        <f>IF($D11="","",IF([7]設定!$H25="",INDEX([7]第３表!$F$80:$Q$136,MATCH([7]設定!$D25,[7]第３表!$C$80:$C$136,0),7),[7]設定!$H25))</f>
        <v>154.19999999999999</v>
      </c>
      <c r="L11" s="55">
        <f>IF($D11="","",IF([7]設定!$H25="",INDEX([7]第３表!$F$80:$Q$136,MATCH([7]設定!$D25,[7]第３表!$C$80:$C$136,0),8),[7]設定!$H25))</f>
        <v>17.2</v>
      </c>
      <c r="M11" s="56">
        <f>IF($D11="","",IF([7]設定!$H25="",INDEX([7]第３表!$F$80:$Q$136,MATCH([7]設定!$D25,[7]第３表!$C$80:$C$136,0),9),[7]設定!$H25))</f>
        <v>19.600000000000001</v>
      </c>
      <c r="N11" s="56">
        <f>IF($D11="","",IF([7]設定!$H25="",INDEX([7]第３表!$F$80:$Q$136,MATCH([7]設定!$D25,[7]第３表!$C$80:$C$136,0),10),[7]設定!$H25))</f>
        <v>150</v>
      </c>
      <c r="O11" s="56">
        <f>IF($D11="","",IF([7]設定!$H25="",INDEX([7]第３表!$F$80:$Q$136,MATCH([7]設定!$D25,[7]第３表!$C$80:$C$136,0),11),[7]設定!$H25))</f>
        <v>142</v>
      </c>
      <c r="P11" s="57">
        <f>IF($D11="","",IF([7]設定!$H25="",INDEX([7]第３表!$F$80:$Q$136,MATCH([7]設定!$D25,[7]第３表!$C$80:$C$136,0),12),[7]設定!$H25))</f>
        <v>8</v>
      </c>
    </row>
    <row r="12" spans="1:18" s="8" customFormat="1" ht="17.25" customHeight="1" x14ac:dyDescent="0.45">
      <c r="B12" s="49" t="str">
        <f>+[8]第５表!B12</f>
        <v>F</v>
      </c>
      <c r="C12" s="50"/>
      <c r="D12" s="58" t="str">
        <f>+[8]第５表!D12</f>
        <v>電気・ガス・熱供給・水道業</v>
      </c>
      <c r="E12" s="52">
        <f>IF($D12="","",IF([7]設定!$H26="",INDEX([7]第３表!$F$80:$Q$136,MATCH([7]設定!$D26,[7]第３表!$C$80:$C$136,0),1),[7]設定!$H26))</f>
        <v>19.5</v>
      </c>
      <c r="F12" s="52">
        <f>IF($D12="","",IF([7]設定!$H26="",INDEX([7]第３表!$F$80:$Q$136,MATCH([7]設定!$D26,[7]第３表!$C$80:$C$136,0),2),[7]設定!$H26))</f>
        <v>158.9</v>
      </c>
      <c r="G12" s="52">
        <f>IF($D12="","",IF([7]設定!$H26="",INDEX([7]第３表!$F$80:$Q$136,MATCH([7]設定!$D26,[7]第３表!$C$80:$C$136,0),3),[7]設定!$H26))</f>
        <v>142.80000000000001</v>
      </c>
      <c r="H12" s="53">
        <f>IF($D12="","",IF([7]設定!$H26="",INDEX([7]第３表!$F$80:$Q$136,MATCH([7]設定!$D26,[7]第３表!$C$80:$C$136,0),4),[7]設定!$H26))</f>
        <v>16.100000000000001</v>
      </c>
      <c r="I12" s="54">
        <f>IF($D12="","",IF([7]設定!$H26="",INDEX([7]第３表!$F$80:$Q$136,MATCH([7]設定!$D26,[7]第３表!$C$80:$C$136,0),5),[7]設定!$H26))</f>
        <v>19.5</v>
      </c>
      <c r="J12" s="54">
        <f>IF($D12="","",IF([7]設定!$H26="",INDEX([7]第３表!$F$80:$Q$136,MATCH([7]設定!$D26,[7]第３表!$C$80:$C$136,0),6),[7]設定!$H26))</f>
        <v>161.1</v>
      </c>
      <c r="K12" s="54">
        <f>IF($D12="","",IF([7]設定!$H26="",INDEX([7]第３表!$F$80:$Q$136,MATCH([7]設定!$D26,[7]第３表!$C$80:$C$136,0),7),[7]設定!$H26))</f>
        <v>144</v>
      </c>
      <c r="L12" s="55">
        <f>IF($D12="","",IF([7]設定!$H26="",INDEX([7]第３表!$F$80:$Q$136,MATCH([7]設定!$D26,[7]第３表!$C$80:$C$136,0),8),[7]設定!$H26))</f>
        <v>17.100000000000001</v>
      </c>
      <c r="M12" s="56">
        <f>IF($D12="","",IF([7]設定!$H26="",INDEX([7]第３表!$F$80:$Q$136,MATCH([7]設定!$D26,[7]第３表!$C$80:$C$136,0),9),[7]設定!$H26))</f>
        <v>19.3</v>
      </c>
      <c r="N12" s="56">
        <f>IF($D12="","",IF([7]設定!$H26="",INDEX([7]第３表!$F$80:$Q$136,MATCH([7]設定!$D26,[7]第３表!$C$80:$C$136,0),10),[7]設定!$H26))</f>
        <v>143.1</v>
      </c>
      <c r="O12" s="56">
        <f>IF($D12="","",IF([7]設定!$H26="",INDEX([7]第３表!$F$80:$Q$136,MATCH([7]設定!$D26,[7]第３表!$C$80:$C$136,0),11),[7]設定!$H26))</f>
        <v>134.19999999999999</v>
      </c>
      <c r="P12" s="57">
        <f>IF($D12="","",IF([7]設定!$H26="",INDEX([7]第３表!$F$80:$Q$136,MATCH([7]設定!$D26,[7]第３表!$C$80:$C$136,0),12),[7]設定!$H26))</f>
        <v>8.9</v>
      </c>
    </row>
    <row r="13" spans="1:18" s="8" customFormat="1" ht="17.25" customHeight="1" x14ac:dyDescent="0.45">
      <c r="B13" s="49" t="str">
        <f>+[8]第５表!B13</f>
        <v>G</v>
      </c>
      <c r="C13" s="50"/>
      <c r="D13" s="51" t="str">
        <f>+[8]第５表!D13</f>
        <v>情報通信業</v>
      </c>
      <c r="E13" s="52">
        <f>IF($D13="","",IF([7]設定!$H27="",INDEX([7]第３表!$F$80:$Q$136,MATCH([7]設定!$D27,[7]第３表!$C$80:$C$136,0),1),[7]設定!$H27))</f>
        <v>19.7</v>
      </c>
      <c r="F13" s="52">
        <f>IF($D13="","",IF([7]設定!$H27="",INDEX([7]第３表!$F$80:$Q$136,MATCH([7]設定!$D27,[7]第３表!$C$80:$C$136,0),2),[7]設定!$H27))</f>
        <v>160.9</v>
      </c>
      <c r="G13" s="52">
        <f>IF($D13="","",IF([7]設定!$H27="",INDEX([7]第３表!$F$80:$Q$136,MATCH([7]設定!$D27,[7]第３表!$C$80:$C$136,0),3),[7]設定!$H27))</f>
        <v>149.4</v>
      </c>
      <c r="H13" s="53">
        <f>IF($D13="","",IF([7]設定!$H27="",INDEX([7]第３表!$F$80:$Q$136,MATCH([7]設定!$D27,[7]第３表!$C$80:$C$136,0),4),[7]設定!$H27))</f>
        <v>11.5</v>
      </c>
      <c r="I13" s="54">
        <f>IF($D13="","",IF([7]設定!$H27="",INDEX([7]第３表!$F$80:$Q$136,MATCH([7]設定!$D27,[7]第３表!$C$80:$C$136,0),5),[7]設定!$H27))</f>
        <v>19.7</v>
      </c>
      <c r="J13" s="54">
        <f>IF($D13="","",IF([7]設定!$H27="",INDEX([7]第３表!$F$80:$Q$136,MATCH([7]設定!$D27,[7]第３表!$C$80:$C$136,0),6),[7]設定!$H27))</f>
        <v>162.5</v>
      </c>
      <c r="K13" s="54">
        <f>IF($D13="","",IF([7]設定!$H27="",INDEX([7]第３表!$F$80:$Q$136,MATCH([7]設定!$D27,[7]第３表!$C$80:$C$136,0),7),[7]設定!$H27))</f>
        <v>150.30000000000001</v>
      </c>
      <c r="L13" s="55">
        <f>IF($D13="","",IF([7]設定!$H27="",INDEX([7]第３表!$F$80:$Q$136,MATCH([7]設定!$D27,[7]第３表!$C$80:$C$136,0),8),[7]設定!$H27))</f>
        <v>12.2</v>
      </c>
      <c r="M13" s="56">
        <f>IF($D13="","",IF([7]設定!$H27="",INDEX([7]第３表!$F$80:$Q$136,MATCH([7]設定!$D27,[7]第３表!$C$80:$C$136,0),9),[7]設定!$H27))</f>
        <v>19.600000000000001</v>
      </c>
      <c r="N13" s="56">
        <f>IF($D13="","",IF([7]設定!$H27="",INDEX([7]第３表!$F$80:$Q$136,MATCH([7]設定!$D27,[7]第３表!$C$80:$C$136,0),10),[7]設定!$H27))</f>
        <v>157.6</v>
      </c>
      <c r="O13" s="56">
        <f>IF($D13="","",IF([7]設定!$H27="",INDEX([7]第３表!$F$80:$Q$136,MATCH([7]設定!$D27,[7]第３表!$C$80:$C$136,0),11),[7]設定!$H27))</f>
        <v>147.4</v>
      </c>
      <c r="P13" s="57">
        <f>IF($D13="","",IF([7]設定!$H27="",INDEX([7]第３表!$F$80:$Q$136,MATCH([7]設定!$D27,[7]第３表!$C$80:$C$136,0),12),[7]設定!$H27))</f>
        <v>10.199999999999999</v>
      </c>
    </row>
    <row r="14" spans="1:18" s="8" customFormat="1" ht="17.25" customHeight="1" x14ac:dyDescent="0.45">
      <c r="B14" s="49" t="str">
        <f>+[8]第５表!B14</f>
        <v>H</v>
      </c>
      <c r="C14" s="50"/>
      <c r="D14" s="51" t="str">
        <f>+[8]第５表!D14</f>
        <v>運輸業，郵便業</v>
      </c>
      <c r="E14" s="52">
        <f>IF($D14="","",IF([7]設定!$H28="",INDEX([7]第３表!$F$80:$Q$136,MATCH([7]設定!$D28,[7]第３表!$C$80:$C$136,0),1),[7]設定!$H28))</f>
        <v>20.100000000000001</v>
      </c>
      <c r="F14" s="52">
        <f>IF($D14="","",IF([7]設定!$H28="",INDEX([7]第３表!$F$80:$Q$136,MATCH([7]設定!$D28,[7]第３表!$C$80:$C$136,0),2),[7]設定!$H28))</f>
        <v>178.1</v>
      </c>
      <c r="G14" s="52">
        <f>IF($D14="","",IF([7]設定!$H28="",INDEX([7]第３表!$F$80:$Q$136,MATCH([7]設定!$D28,[7]第３表!$C$80:$C$136,0),3),[7]設定!$H28))</f>
        <v>147.1</v>
      </c>
      <c r="H14" s="53">
        <f>IF($D14="","",IF([7]設定!$H28="",INDEX([7]第３表!$F$80:$Q$136,MATCH([7]設定!$D28,[7]第３表!$C$80:$C$136,0),4),[7]設定!$H28))</f>
        <v>31</v>
      </c>
      <c r="I14" s="54">
        <f>IF($D14="","",IF([7]設定!$H28="",INDEX([7]第３表!$F$80:$Q$136,MATCH([7]設定!$D28,[7]第３表!$C$80:$C$136,0),5),[7]設定!$H28))</f>
        <v>20.399999999999999</v>
      </c>
      <c r="J14" s="54">
        <f>IF($D14="","",IF([7]設定!$H28="",INDEX([7]第３表!$F$80:$Q$136,MATCH([7]設定!$D28,[7]第３表!$C$80:$C$136,0),6),[7]設定!$H28))</f>
        <v>184.6</v>
      </c>
      <c r="K14" s="54">
        <f>IF($D14="","",IF([7]設定!$H28="",INDEX([7]第３表!$F$80:$Q$136,MATCH([7]設定!$D28,[7]第３表!$C$80:$C$136,0),7),[7]設定!$H28))</f>
        <v>149.1</v>
      </c>
      <c r="L14" s="55">
        <f>IF($D14="","",IF([7]設定!$H28="",INDEX([7]第３表!$F$80:$Q$136,MATCH([7]設定!$D28,[7]第３表!$C$80:$C$136,0),8),[7]設定!$H28))</f>
        <v>35.5</v>
      </c>
      <c r="M14" s="56">
        <f>IF($D14="","",IF([7]設定!$H28="",INDEX([7]第３表!$F$80:$Q$136,MATCH([7]設定!$D28,[7]第３表!$C$80:$C$136,0),9),[7]設定!$H28))</f>
        <v>18.600000000000001</v>
      </c>
      <c r="N14" s="56">
        <f>IF($D14="","",IF([7]設定!$H28="",INDEX([7]第３表!$F$80:$Q$136,MATCH([7]設定!$D28,[7]第３表!$C$80:$C$136,0),10),[7]設定!$H28))</f>
        <v>145</v>
      </c>
      <c r="O14" s="56">
        <f>IF($D14="","",IF([7]設定!$H28="",INDEX([7]第３表!$F$80:$Q$136,MATCH([7]設定!$D28,[7]第３表!$C$80:$C$136,0),11),[7]設定!$H28))</f>
        <v>136.80000000000001</v>
      </c>
      <c r="P14" s="57">
        <f>IF($D14="","",IF([7]設定!$H28="",INDEX([7]第３表!$F$80:$Q$136,MATCH([7]設定!$D28,[7]第３表!$C$80:$C$136,0),12),[7]設定!$H28))</f>
        <v>8.1999999999999993</v>
      </c>
    </row>
    <row r="15" spans="1:18" s="8" customFormat="1" ht="17.25" customHeight="1" x14ac:dyDescent="0.45">
      <c r="B15" s="49" t="str">
        <f>+[8]第５表!B15</f>
        <v>I</v>
      </c>
      <c r="C15" s="50"/>
      <c r="D15" s="51" t="str">
        <f>+[8]第５表!D15</f>
        <v>卸売業，小売業</v>
      </c>
      <c r="E15" s="52">
        <f>IF($D15="","",IF([7]設定!$H29="",INDEX([7]第３表!$F$80:$Q$136,MATCH([7]設定!$D29,[7]第３表!$C$80:$C$136,0),1),[7]設定!$H29))</f>
        <v>18.7</v>
      </c>
      <c r="F15" s="52">
        <f>IF($D15="","",IF([7]設定!$H29="",INDEX([7]第３表!$F$80:$Q$136,MATCH([7]設定!$D29,[7]第３表!$C$80:$C$136,0),2),[7]設定!$H29))</f>
        <v>140.1</v>
      </c>
      <c r="G15" s="52">
        <f>IF($D15="","",IF([7]設定!$H29="",INDEX([7]第３表!$F$80:$Q$136,MATCH([7]設定!$D29,[7]第３表!$C$80:$C$136,0),3),[7]設定!$H29))</f>
        <v>131.5</v>
      </c>
      <c r="H15" s="53">
        <f>IF($D15="","",IF([7]設定!$H29="",INDEX([7]第３表!$F$80:$Q$136,MATCH([7]設定!$D29,[7]第３表!$C$80:$C$136,0),4),[7]設定!$H29))</f>
        <v>8.6</v>
      </c>
      <c r="I15" s="54">
        <f>IF($D15="","",IF([7]設定!$H29="",INDEX([7]第３表!$F$80:$Q$136,MATCH([7]設定!$D29,[7]第３表!$C$80:$C$136,0),5),[7]設定!$H29))</f>
        <v>19.2</v>
      </c>
      <c r="J15" s="54">
        <f>IF($D15="","",IF([7]設定!$H29="",INDEX([7]第３表!$F$80:$Q$136,MATCH([7]設定!$D29,[7]第３表!$C$80:$C$136,0),6),[7]設定!$H29))</f>
        <v>156</v>
      </c>
      <c r="K15" s="54">
        <f>IF($D15="","",IF([7]設定!$H29="",INDEX([7]第３表!$F$80:$Q$136,MATCH([7]設定!$D29,[7]第３表!$C$80:$C$136,0),7),[7]設定!$H29))</f>
        <v>143.80000000000001</v>
      </c>
      <c r="L15" s="55">
        <f>IF($D15="","",IF([7]設定!$H29="",INDEX([7]第３表!$F$80:$Q$136,MATCH([7]設定!$D29,[7]第３表!$C$80:$C$136,0),8),[7]設定!$H29))</f>
        <v>12.2</v>
      </c>
      <c r="M15" s="56">
        <f>IF($D15="","",IF([7]設定!$H29="",INDEX([7]第３表!$F$80:$Q$136,MATCH([7]設定!$D29,[7]第３表!$C$80:$C$136,0),9),[7]設定!$H29))</f>
        <v>18.100000000000001</v>
      </c>
      <c r="N15" s="56">
        <f>IF($D15="","",IF([7]設定!$H29="",INDEX([7]第３表!$F$80:$Q$136,MATCH([7]設定!$D29,[7]第３表!$C$80:$C$136,0),10),[7]設定!$H29))</f>
        <v>120.8</v>
      </c>
      <c r="O15" s="56">
        <f>IF($D15="","",IF([7]設定!$H29="",INDEX([7]第３表!$F$80:$Q$136,MATCH([7]設定!$D29,[7]第３表!$C$80:$C$136,0),11),[7]設定!$H29))</f>
        <v>116.6</v>
      </c>
      <c r="P15" s="57">
        <f>IF($D15="","",IF([7]設定!$H29="",INDEX([7]第３表!$F$80:$Q$136,MATCH([7]設定!$D29,[7]第３表!$C$80:$C$136,0),12),[7]設定!$H29))</f>
        <v>4.2</v>
      </c>
    </row>
    <row r="16" spans="1:18" s="8" customFormat="1" ht="17.25" customHeight="1" x14ac:dyDescent="0.45">
      <c r="B16" s="49" t="str">
        <f>+[8]第５表!B16</f>
        <v>J</v>
      </c>
      <c r="C16" s="50"/>
      <c r="D16" s="51" t="str">
        <f>+[8]第５表!D16</f>
        <v>金融業，保険業</v>
      </c>
      <c r="E16" s="52">
        <f>IF($D16="","",IF([7]設定!$H30="",INDEX([7]第３表!$F$80:$Q$136,MATCH([7]設定!$D30,[7]第３表!$C$80:$C$136,0),1),[7]設定!$H30))</f>
        <v>18.8</v>
      </c>
      <c r="F16" s="52">
        <f>IF($D16="","",IF([7]設定!$H30="",INDEX([7]第３表!$F$80:$Q$136,MATCH([7]設定!$D30,[7]第３表!$C$80:$C$136,0),2),[7]設定!$H30))</f>
        <v>146.6</v>
      </c>
      <c r="G16" s="52">
        <f>IF($D16="","",IF([7]設定!$H30="",INDEX([7]第３表!$F$80:$Q$136,MATCH([7]設定!$D30,[7]第３表!$C$80:$C$136,0),3),[7]設定!$H30))</f>
        <v>140.4</v>
      </c>
      <c r="H16" s="53">
        <f>IF($D16="","",IF([7]設定!$H30="",INDEX([7]第３表!$F$80:$Q$136,MATCH([7]設定!$D30,[7]第３表!$C$80:$C$136,0),4),[7]設定!$H30))</f>
        <v>6.2</v>
      </c>
      <c r="I16" s="54">
        <f>IF($D16="","",IF([7]設定!$H30="",INDEX([7]第３表!$F$80:$Q$136,MATCH([7]設定!$D30,[7]第３表!$C$80:$C$136,0),5),[7]設定!$H30))</f>
        <v>19.2</v>
      </c>
      <c r="J16" s="54">
        <f>IF($D16="","",IF([7]設定!$H30="",INDEX([7]第３表!$F$80:$Q$136,MATCH([7]設定!$D30,[7]第３表!$C$80:$C$136,0),6),[7]設定!$H30))</f>
        <v>153.1</v>
      </c>
      <c r="K16" s="54">
        <f>IF($D16="","",IF([7]設定!$H30="",INDEX([7]第３表!$F$80:$Q$136,MATCH([7]設定!$D30,[7]第３表!$C$80:$C$136,0),7),[7]設定!$H30))</f>
        <v>145.4</v>
      </c>
      <c r="L16" s="55">
        <f>IF($D16="","",IF([7]設定!$H30="",INDEX([7]第３表!$F$80:$Q$136,MATCH([7]設定!$D30,[7]第３表!$C$80:$C$136,0),8),[7]設定!$H30))</f>
        <v>7.7</v>
      </c>
      <c r="M16" s="56">
        <f>IF($D16="","",IF([7]設定!$H30="",INDEX([7]第３表!$F$80:$Q$136,MATCH([7]設定!$D30,[7]第３表!$C$80:$C$136,0),9),[7]設定!$H30))</f>
        <v>18.100000000000001</v>
      </c>
      <c r="N16" s="56">
        <f>IF($D16="","",IF([7]設定!$H30="",INDEX([7]第３表!$F$80:$Q$136,MATCH([7]設定!$D30,[7]第３表!$C$80:$C$136,0),10),[7]設定!$H30))</f>
        <v>136.69999999999999</v>
      </c>
      <c r="O16" s="56">
        <f>IF($D16="","",IF([7]設定!$H30="",INDEX([7]第３表!$F$80:$Q$136,MATCH([7]設定!$D30,[7]第３表!$C$80:$C$136,0),11),[7]設定!$H30))</f>
        <v>132.69999999999999</v>
      </c>
      <c r="P16" s="57">
        <f>IF($D16="","",IF([7]設定!$H30="",INDEX([7]第３表!$F$80:$Q$136,MATCH([7]設定!$D30,[7]第３表!$C$80:$C$136,0),12),[7]設定!$H30))</f>
        <v>4</v>
      </c>
    </row>
    <row r="17" spans="2:16" s="8" customFormat="1" ht="17.25" customHeight="1" x14ac:dyDescent="0.45">
      <c r="B17" s="49" t="str">
        <f>+[8]第５表!B17</f>
        <v>K</v>
      </c>
      <c r="C17" s="50"/>
      <c r="D17" s="51" t="str">
        <f>+[8]第５表!D17</f>
        <v>不動産業，物品賃貸業</v>
      </c>
      <c r="E17" s="52">
        <f>IF($D17="","",IF([7]設定!$H31="",INDEX([7]第３表!$F$80:$Q$136,MATCH([7]設定!$D31,[7]第３表!$C$80:$C$136,0),1),[7]設定!$H31))</f>
        <v>17.2</v>
      </c>
      <c r="F17" s="52">
        <f>IF($D17="","",IF([7]設定!$H31="",INDEX([7]第３表!$F$80:$Q$136,MATCH([7]設定!$D31,[7]第３表!$C$80:$C$136,0),2),[7]設定!$H31))</f>
        <v>110.3</v>
      </c>
      <c r="G17" s="52">
        <f>IF($D17="","",IF([7]設定!$H31="",INDEX([7]第３表!$F$80:$Q$136,MATCH([7]設定!$D31,[7]第３表!$C$80:$C$136,0),3),[7]設定!$H31))</f>
        <v>106.6</v>
      </c>
      <c r="H17" s="52">
        <f>IF($D17="","",IF([7]設定!$H31="",INDEX([7]第３表!$F$80:$Q$136,MATCH([7]設定!$D31,[7]第３表!$C$80:$C$136,0),4),[7]設定!$H31))</f>
        <v>3.7</v>
      </c>
      <c r="I17" s="54">
        <f>IF($D17="","",IF([7]設定!$H31="",INDEX([7]第３表!$F$80:$Q$136,MATCH([7]設定!$D31,[7]第３表!$C$80:$C$136,0),5),[7]設定!$H31))</f>
        <v>20.5</v>
      </c>
      <c r="J17" s="54">
        <f>IF($D17="","",IF([7]設定!$H31="",INDEX([7]第３表!$F$80:$Q$136,MATCH([7]設定!$D31,[7]第３表!$C$80:$C$136,0),6),[7]設定!$H31))</f>
        <v>159.9</v>
      </c>
      <c r="K17" s="54">
        <f>IF($D17="","",IF([7]設定!$H31="",INDEX([7]第３表!$F$80:$Q$136,MATCH([7]設定!$D31,[7]第３表!$C$80:$C$136,0),7),[7]設定!$H31))</f>
        <v>151.80000000000001</v>
      </c>
      <c r="L17" s="55">
        <f>IF($D17="","",IF([7]設定!$H31="",INDEX([7]第３表!$F$80:$Q$136,MATCH([7]設定!$D31,[7]第３表!$C$80:$C$136,0),8),[7]設定!$H31))</f>
        <v>8.1</v>
      </c>
      <c r="M17" s="56">
        <f>IF($D17="","",IF([7]設定!$H31="",INDEX([7]第３表!$F$80:$Q$136,MATCH([7]設定!$D31,[7]第３表!$C$80:$C$136,0),9),[7]設定!$H31))</f>
        <v>15.1</v>
      </c>
      <c r="N17" s="56">
        <f>IF($D17="","",IF([7]設定!$H31="",INDEX([7]第３表!$F$80:$Q$136,MATCH([7]設定!$D31,[7]第３表!$C$80:$C$136,0),10),[7]設定!$H31))</f>
        <v>79.400000000000006</v>
      </c>
      <c r="O17" s="56">
        <f>IF($D17="","",IF([7]設定!$H31="",INDEX([7]第３表!$F$80:$Q$136,MATCH([7]設定!$D31,[7]第３表!$C$80:$C$136,0),11),[7]設定!$H31))</f>
        <v>78.5</v>
      </c>
      <c r="P17" s="57">
        <f>IF($D17="","",IF([7]設定!$H31="",INDEX([7]第３表!$F$80:$Q$136,MATCH([7]設定!$D31,[7]第３表!$C$80:$C$136,0),12),[7]設定!$H31))</f>
        <v>0.9</v>
      </c>
    </row>
    <row r="18" spans="2:16" s="8" customFormat="1" ht="17.25" customHeight="1" x14ac:dyDescent="0.45">
      <c r="B18" s="49" t="str">
        <f>+[8]第５表!B18</f>
        <v>L</v>
      </c>
      <c r="C18" s="50"/>
      <c r="D18" s="59" t="str">
        <f>+[8]第５表!D18</f>
        <v>学術研究，専門・技術サービス業</v>
      </c>
      <c r="E18" s="52">
        <f>IF($D18="","",IF([7]設定!$H32="",INDEX([7]第３表!$F$80:$Q$136,MATCH([7]設定!$D32,[7]第３表!$C$80:$C$136,0),1),[7]設定!$H32))</f>
        <v>19.7</v>
      </c>
      <c r="F18" s="52">
        <f>IF($D18="","",IF([7]設定!$H32="",INDEX([7]第３表!$F$80:$Q$136,MATCH([7]設定!$D32,[7]第３表!$C$80:$C$136,0),2),[7]設定!$H32))</f>
        <v>162.19999999999999</v>
      </c>
      <c r="G18" s="52">
        <f>IF($D18="","",IF([7]設定!$H32="",INDEX([7]第３表!$F$80:$Q$136,MATCH([7]設定!$D32,[7]第３表!$C$80:$C$136,0),3),[7]設定!$H32))</f>
        <v>155</v>
      </c>
      <c r="H18" s="53">
        <f>IF($D18="","",IF([7]設定!$H32="",INDEX([7]第３表!$F$80:$Q$136,MATCH([7]設定!$D32,[7]第３表!$C$80:$C$136,0),4),[7]設定!$H32))</f>
        <v>7.2</v>
      </c>
      <c r="I18" s="54">
        <f>IF($D18="","",IF([7]設定!$H32="",INDEX([7]第３表!$F$80:$Q$136,MATCH([7]設定!$D32,[7]第３表!$C$80:$C$136,0),5),[7]設定!$H32))</f>
        <v>20.100000000000001</v>
      </c>
      <c r="J18" s="54">
        <f>IF($D18="","",IF([7]設定!$H32="",INDEX([7]第３表!$F$80:$Q$136,MATCH([7]設定!$D32,[7]第３表!$C$80:$C$136,0),6),[7]設定!$H32))</f>
        <v>172.2</v>
      </c>
      <c r="K18" s="54">
        <f>IF($D18="","",IF([7]設定!$H32="",INDEX([7]第３表!$F$80:$Q$136,MATCH([7]設定!$D32,[7]第３表!$C$80:$C$136,0),7),[7]設定!$H32))</f>
        <v>165.1</v>
      </c>
      <c r="L18" s="55">
        <f>IF($D18="","",IF([7]設定!$H32="",INDEX([7]第３表!$F$80:$Q$136,MATCH([7]設定!$D32,[7]第３表!$C$80:$C$136,0),8),[7]設定!$H32))</f>
        <v>7.1</v>
      </c>
      <c r="M18" s="56">
        <f>IF($D18="","",IF([7]設定!$H32="",INDEX([7]第３表!$F$80:$Q$136,MATCH([7]設定!$D32,[7]第３表!$C$80:$C$136,0),9),[7]設定!$H32))</f>
        <v>19.100000000000001</v>
      </c>
      <c r="N18" s="56">
        <f>IF($D18="","",IF([7]設定!$H32="",INDEX([7]第３表!$F$80:$Q$136,MATCH([7]設定!$D32,[7]第３表!$C$80:$C$136,0),10),[7]設定!$H32))</f>
        <v>143.80000000000001</v>
      </c>
      <c r="O18" s="56">
        <f>IF($D18="","",IF([7]設定!$H32="",INDEX([7]第３表!$F$80:$Q$136,MATCH([7]設定!$D32,[7]第３表!$C$80:$C$136,0),11),[7]設定!$H32))</f>
        <v>136.5</v>
      </c>
      <c r="P18" s="57">
        <f>IF($D18="","",IF([7]設定!$H32="",INDEX([7]第３表!$F$80:$Q$136,MATCH([7]設定!$D32,[7]第３表!$C$80:$C$136,0),12),[7]設定!$H32))</f>
        <v>7.3</v>
      </c>
    </row>
    <row r="19" spans="2:16" s="8" customFormat="1" ht="17.25" customHeight="1" x14ac:dyDescent="0.45">
      <c r="B19" s="49" t="str">
        <f>+[8]第５表!B19</f>
        <v>M</v>
      </c>
      <c r="C19" s="50"/>
      <c r="D19" s="60" t="str">
        <f>+[8]第５表!D19</f>
        <v>宿泊業，飲食サービス業</v>
      </c>
      <c r="E19" s="52">
        <f>IF($D19="","",IF([7]設定!$H33="",INDEX([7]第３表!$F$80:$Q$136,MATCH([7]設定!$D33,[7]第３表!$C$80:$C$136,0),1),[7]設定!$H33))</f>
        <v>14.8</v>
      </c>
      <c r="F19" s="52">
        <f>IF($D19="","",IF([7]設定!$H33="",INDEX([7]第３表!$F$80:$Q$136,MATCH([7]設定!$D33,[7]第３表!$C$80:$C$136,0),2),[7]設定!$H33))</f>
        <v>89.9</v>
      </c>
      <c r="G19" s="52">
        <f>IF($D19="","",IF([7]設定!$H33="",INDEX([7]第３表!$F$80:$Q$136,MATCH([7]設定!$D33,[7]第３表!$C$80:$C$136,0),3),[7]設定!$H33))</f>
        <v>86.3</v>
      </c>
      <c r="H19" s="53">
        <f>IF($D19="","",IF([7]設定!$H33="",INDEX([7]第３表!$F$80:$Q$136,MATCH([7]設定!$D33,[7]第３表!$C$80:$C$136,0),4),[7]設定!$H33))</f>
        <v>3.6</v>
      </c>
      <c r="I19" s="54">
        <f>IF($D19="","",IF([7]設定!$H33="",INDEX([7]第３表!$F$80:$Q$136,MATCH([7]設定!$D33,[7]第３表!$C$80:$C$136,0),5),[7]設定!$H33))</f>
        <v>16.399999999999999</v>
      </c>
      <c r="J19" s="54">
        <f>IF($D19="","",IF([7]設定!$H33="",INDEX([7]第３表!$F$80:$Q$136,MATCH([7]設定!$D33,[7]第３表!$C$80:$C$136,0),6),[7]設定!$H33))</f>
        <v>107.1</v>
      </c>
      <c r="K19" s="54">
        <f>IF($D19="","",IF([7]設定!$H33="",INDEX([7]第３表!$F$80:$Q$136,MATCH([7]設定!$D33,[7]第３表!$C$80:$C$136,0),7),[7]設定!$H33))</f>
        <v>101.6</v>
      </c>
      <c r="L19" s="55">
        <f>IF($D19="","",IF([7]設定!$H33="",INDEX([7]第３表!$F$80:$Q$136,MATCH([7]設定!$D33,[7]第３表!$C$80:$C$136,0),8),[7]設定!$H33))</f>
        <v>5.5</v>
      </c>
      <c r="M19" s="56">
        <f>IF($D19="","",IF([7]設定!$H33="",INDEX([7]第３表!$F$80:$Q$136,MATCH([7]設定!$D33,[7]第３表!$C$80:$C$136,0),9),[7]設定!$H33))</f>
        <v>14</v>
      </c>
      <c r="N19" s="56">
        <f>IF($D19="","",IF([7]設定!$H33="",INDEX([7]第３表!$F$80:$Q$136,MATCH([7]設定!$D33,[7]第３表!$C$80:$C$136,0),10),[7]設定!$H33))</f>
        <v>81.099999999999994</v>
      </c>
      <c r="O19" s="56">
        <f>IF($D19="","",IF([7]設定!$H33="",INDEX([7]第３表!$F$80:$Q$136,MATCH([7]設定!$D33,[7]第３表!$C$80:$C$136,0),11),[7]設定!$H33))</f>
        <v>78.5</v>
      </c>
      <c r="P19" s="57">
        <f>IF($D19="","",IF([7]設定!$H33="",INDEX([7]第３表!$F$80:$Q$136,MATCH([7]設定!$D33,[7]第３表!$C$80:$C$136,0),12),[7]設定!$H33))</f>
        <v>2.6</v>
      </c>
    </row>
    <row r="20" spans="2:16" s="8" customFormat="1" ht="17.25" customHeight="1" x14ac:dyDescent="0.45">
      <c r="B20" s="49" t="str">
        <f>+[8]第５表!B20</f>
        <v>N</v>
      </c>
      <c r="C20" s="50"/>
      <c r="D20" s="61" t="str">
        <f>+[8]第５表!D20</f>
        <v>生活関連サービス業，娯楽業</v>
      </c>
      <c r="E20" s="52">
        <f>IF($D20="","",IF([7]設定!$H34="",INDEX([7]第３表!$F$80:$Q$136,MATCH([7]設定!$D34,[7]第３表!$C$80:$C$136,0),1),[7]設定!$H34))</f>
        <v>16.600000000000001</v>
      </c>
      <c r="F20" s="52">
        <f>IF($D20="","",IF([7]設定!$H34="",INDEX([7]第３表!$F$80:$Q$136,MATCH([7]設定!$D34,[7]第３表!$C$80:$C$136,0),2),[7]設定!$H34))</f>
        <v>121.1</v>
      </c>
      <c r="G20" s="52">
        <f>IF($D20="","",IF([7]設定!$H34="",INDEX([7]第３表!$F$80:$Q$136,MATCH([7]設定!$D34,[7]第３表!$C$80:$C$136,0),3),[7]設定!$H34))</f>
        <v>117.1</v>
      </c>
      <c r="H20" s="53">
        <f>IF($D20="","",IF([7]設定!$H34="",INDEX([7]第３表!$F$80:$Q$136,MATCH([7]設定!$D34,[7]第３表!$C$80:$C$136,0),4),[7]設定!$H34))</f>
        <v>4</v>
      </c>
      <c r="I20" s="54">
        <f>IF($D20="","",IF([7]設定!$H34="",INDEX([7]第３表!$F$80:$Q$136,MATCH([7]設定!$D34,[7]第３表!$C$80:$C$136,0),5),[7]設定!$H34))</f>
        <v>16.3</v>
      </c>
      <c r="J20" s="54">
        <f>IF($D20="","",IF([7]設定!$H34="",INDEX([7]第３表!$F$80:$Q$136,MATCH([7]設定!$D34,[7]第３表!$C$80:$C$136,0),6),[7]設定!$H34))</f>
        <v>125.5</v>
      </c>
      <c r="K20" s="54">
        <f>IF($D20="","",IF([7]設定!$H34="",INDEX([7]第３表!$F$80:$Q$136,MATCH([7]設定!$D34,[7]第３表!$C$80:$C$136,0),7),[7]設定!$H34))</f>
        <v>120.2</v>
      </c>
      <c r="L20" s="55">
        <f>IF($D20="","",IF([7]設定!$H34="",INDEX([7]第３表!$F$80:$Q$136,MATCH([7]設定!$D34,[7]第３表!$C$80:$C$136,0),8),[7]設定!$H34))</f>
        <v>5.3</v>
      </c>
      <c r="M20" s="56">
        <f>IF($D20="","",IF([7]設定!$H34="",INDEX([7]第３表!$F$80:$Q$136,MATCH([7]設定!$D34,[7]第３表!$C$80:$C$136,0),9),[7]設定!$H34))</f>
        <v>17</v>
      </c>
      <c r="N20" s="56">
        <f>IF($D20="","",IF([7]設定!$H34="",INDEX([7]第３表!$F$80:$Q$136,MATCH([7]設定!$D34,[7]第３表!$C$80:$C$136,0),10),[7]設定!$H34))</f>
        <v>115.9</v>
      </c>
      <c r="O20" s="56">
        <f>IF($D20="","",IF([7]設定!$H34="",INDEX([7]第３表!$F$80:$Q$136,MATCH([7]設定!$D34,[7]第３表!$C$80:$C$136,0),11),[7]設定!$H34))</f>
        <v>113.4</v>
      </c>
      <c r="P20" s="57">
        <f>IF($D20="","",IF([7]設定!$H34="",INDEX([7]第３表!$F$80:$Q$136,MATCH([7]設定!$D34,[7]第３表!$C$80:$C$136,0),12),[7]設定!$H34))</f>
        <v>2.5</v>
      </c>
    </row>
    <row r="21" spans="2:16" s="8" customFormat="1" ht="17.25" customHeight="1" x14ac:dyDescent="0.45">
      <c r="B21" s="49" t="str">
        <f>+[8]第５表!B21</f>
        <v>O</v>
      </c>
      <c r="C21" s="50"/>
      <c r="D21" s="51" t="str">
        <f>+[8]第５表!D21</f>
        <v>教育，学習支援業</v>
      </c>
      <c r="E21" s="52">
        <f>IF($D21="","",IF([7]設定!$H35="",INDEX([7]第３表!$F$80:$Q$136,MATCH([7]設定!$D35,[7]第３表!$C$80:$C$136,0),1),[7]設定!$H35))</f>
        <v>19.3</v>
      </c>
      <c r="F21" s="52">
        <f>IF($D21="","",IF([7]設定!$H35="",INDEX([7]第３表!$F$80:$Q$136,MATCH([7]設定!$D35,[7]第３表!$C$80:$C$136,0),2),[7]設定!$H35))</f>
        <v>167.7</v>
      </c>
      <c r="G21" s="52">
        <f>IF($D21="","",IF([7]設定!$H35="",INDEX([7]第３表!$F$80:$Q$136,MATCH([7]設定!$D35,[7]第３表!$C$80:$C$136,0),3),[7]設定!$H35))</f>
        <v>139.80000000000001</v>
      </c>
      <c r="H21" s="53">
        <f>IF($D21="","",IF([7]設定!$H35="",INDEX([7]第３表!$F$80:$Q$136,MATCH([7]設定!$D35,[7]第３表!$C$80:$C$136,0),4),[7]設定!$H35))</f>
        <v>27.9</v>
      </c>
      <c r="I21" s="54">
        <f>IF($D21="","",IF([7]設定!$H35="",INDEX([7]第３表!$F$80:$Q$136,MATCH([7]設定!$D35,[7]第３表!$C$80:$C$136,0),5),[7]設定!$H35))</f>
        <v>20.3</v>
      </c>
      <c r="J21" s="54">
        <f>IF($D21="","",IF([7]設定!$H35="",INDEX([7]第３表!$F$80:$Q$136,MATCH([7]設定!$D35,[7]第３表!$C$80:$C$136,0),6),[7]設定!$H35))</f>
        <v>184.2</v>
      </c>
      <c r="K21" s="54">
        <f>IF($D21="","",IF([7]設定!$H35="",INDEX([7]第３表!$F$80:$Q$136,MATCH([7]設定!$D35,[7]第３表!$C$80:$C$136,0),7),[7]設定!$H35))</f>
        <v>146.69999999999999</v>
      </c>
      <c r="L21" s="55">
        <f>IF($D21="","",IF([7]設定!$H35="",INDEX([7]第３表!$F$80:$Q$136,MATCH([7]設定!$D35,[7]第３表!$C$80:$C$136,0),8),[7]設定!$H35))</f>
        <v>37.5</v>
      </c>
      <c r="M21" s="56">
        <f>IF($D21="","",IF([7]設定!$H35="",INDEX([7]第３表!$F$80:$Q$136,MATCH([7]設定!$D35,[7]第３表!$C$80:$C$136,0),9),[7]設定!$H35))</f>
        <v>18.399999999999999</v>
      </c>
      <c r="N21" s="56">
        <f>IF($D21="","",IF([7]設定!$H35="",INDEX([7]第３表!$F$80:$Q$136,MATCH([7]設定!$D35,[7]第３表!$C$80:$C$136,0),10),[7]設定!$H35))</f>
        <v>152.80000000000001</v>
      </c>
      <c r="O21" s="56">
        <f>IF($D21="","",IF([7]設定!$H35="",INDEX([7]第３表!$F$80:$Q$136,MATCH([7]設定!$D35,[7]第３表!$C$80:$C$136,0),11),[7]設定!$H35))</f>
        <v>133.5</v>
      </c>
      <c r="P21" s="57">
        <f>IF($D21="","",IF([7]設定!$H35="",INDEX([7]第３表!$F$80:$Q$136,MATCH([7]設定!$D35,[7]第３表!$C$80:$C$136,0),12),[7]設定!$H35))</f>
        <v>19.3</v>
      </c>
    </row>
    <row r="22" spans="2:16" s="8" customFormat="1" ht="17.25" customHeight="1" x14ac:dyDescent="0.45">
      <c r="B22" s="49" t="str">
        <f>+[8]第５表!B22</f>
        <v>P</v>
      </c>
      <c r="C22" s="50"/>
      <c r="D22" s="51" t="str">
        <f>+[8]第５表!D22</f>
        <v>医療，福祉</v>
      </c>
      <c r="E22" s="52">
        <f>IF($D22="","",IF([7]設定!$H36="",INDEX([7]第３表!$F$80:$Q$136,MATCH([7]設定!$D36,[7]第３表!$C$80:$C$136,0),1),[7]設定!$H36))</f>
        <v>19</v>
      </c>
      <c r="F22" s="52">
        <f>IF($D22="","",IF([7]設定!$H36="",INDEX([7]第３表!$F$80:$Q$136,MATCH([7]設定!$D36,[7]第３表!$C$80:$C$136,0),2),[7]設定!$H36))</f>
        <v>139.4</v>
      </c>
      <c r="G22" s="52">
        <f>IF($D22="","",IF([7]設定!$H36="",INDEX([7]第３表!$F$80:$Q$136,MATCH([7]設定!$D36,[7]第３表!$C$80:$C$136,0),3),[7]設定!$H36))</f>
        <v>135.30000000000001</v>
      </c>
      <c r="H22" s="53">
        <f>IF($D22="","",IF([7]設定!$H36="",INDEX([7]第３表!$F$80:$Q$136,MATCH([7]設定!$D36,[7]第３表!$C$80:$C$136,0),4),[7]設定!$H36))</f>
        <v>4.0999999999999996</v>
      </c>
      <c r="I22" s="54">
        <f>IF($D22="","",IF([7]設定!$H36="",INDEX([7]第３表!$F$80:$Q$136,MATCH([7]設定!$D36,[7]第３表!$C$80:$C$136,0),5),[7]設定!$H36))</f>
        <v>19.3</v>
      </c>
      <c r="J22" s="54">
        <f>IF($D22="","",IF([7]設定!$H36="",INDEX([7]第３表!$F$80:$Q$136,MATCH([7]設定!$D36,[7]第３表!$C$80:$C$136,0),6),[7]設定!$H36))</f>
        <v>148.69999999999999</v>
      </c>
      <c r="K22" s="54">
        <f>IF($D22="","",IF([7]設定!$H36="",INDEX([7]第３表!$F$80:$Q$136,MATCH([7]設定!$D36,[7]第３表!$C$80:$C$136,0),7),[7]設定!$H36))</f>
        <v>143.1</v>
      </c>
      <c r="L22" s="55">
        <f>IF($D22="","",IF([7]設定!$H36="",INDEX([7]第３表!$F$80:$Q$136,MATCH([7]設定!$D36,[7]第３表!$C$80:$C$136,0),8),[7]設定!$H36))</f>
        <v>5.6</v>
      </c>
      <c r="M22" s="56">
        <f>IF($D22="","",IF([7]設定!$H36="",INDEX([7]第３表!$F$80:$Q$136,MATCH([7]設定!$D36,[7]第３表!$C$80:$C$136,0),9),[7]設定!$H36))</f>
        <v>19</v>
      </c>
      <c r="N22" s="56">
        <f>IF($D22="","",IF([7]設定!$H36="",INDEX([7]第３表!$F$80:$Q$136,MATCH([7]設定!$D36,[7]第３表!$C$80:$C$136,0),10),[7]設定!$H36))</f>
        <v>136.4</v>
      </c>
      <c r="O22" s="56">
        <f>IF($D22="","",IF([7]設定!$H36="",INDEX([7]第３表!$F$80:$Q$136,MATCH([7]設定!$D36,[7]第３表!$C$80:$C$136,0),11),[7]設定!$H36))</f>
        <v>132.80000000000001</v>
      </c>
      <c r="P22" s="57">
        <f>IF($D22="","",IF([7]設定!$H36="",INDEX([7]第３表!$F$80:$Q$136,MATCH([7]設定!$D36,[7]第３表!$C$80:$C$136,0),12),[7]設定!$H36))</f>
        <v>3.6</v>
      </c>
    </row>
    <row r="23" spans="2:16" s="8" customFormat="1" ht="17.25" customHeight="1" x14ac:dyDescent="0.45">
      <c r="B23" s="49" t="str">
        <f>+[8]第５表!B23</f>
        <v>Q</v>
      </c>
      <c r="C23" s="50"/>
      <c r="D23" s="51" t="str">
        <f>+[8]第５表!D23</f>
        <v>複合サービス事業</v>
      </c>
      <c r="E23" s="52">
        <f>IF($D23="","",IF([7]設定!$H37="",INDEX([7]第３表!$F$80:$Q$136,MATCH([7]設定!$D37,[7]第３表!$C$80:$C$136,0),1),[7]設定!$H37))</f>
        <v>20.2</v>
      </c>
      <c r="F23" s="52">
        <f>IF($D23="","",IF([7]設定!$H37="",INDEX([7]第３表!$F$80:$Q$136,MATCH([7]設定!$D37,[7]第３表!$C$80:$C$136,0),2),[7]設定!$H37))</f>
        <v>163.4</v>
      </c>
      <c r="G23" s="52">
        <f>IF($D23="","",IF([7]設定!$H37="",INDEX([7]第３表!$F$80:$Q$136,MATCH([7]設定!$D37,[7]第３表!$C$80:$C$136,0),3),[7]設定!$H37))</f>
        <v>157.69999999999999</v>
      </c>
      <c r="H23" s="53">
        <f>IF($D23="","",IF([7]設定!$H37="",INDEX([7]第３表!$F$80:$Q$136,MATCH([7]設定!$D37,[7]第３表!$C$80:$C$136,0),4),[7]設定!$H37))</f>
        <v>5.7</v>
      </c>
      <c r="I23" s="54">
        <f>IF($D23="","",IF([7]設定!$H37="",INDEX([7]第３表!$F$80:$Q$136,MATCH([7]設定!$D37,[7]第３表!$C$80:$C$136,0),5),[7]設定!$H37))</f>
        <v>19.899999999999999</v>
      </c>
      <c r="J23" s="54">
        <f>IF($D23="","",IF([7]設定!$H37="",INDEX([7]第３表!$F$80:$Q$136,MATCH([7]設定!$D37,[7]第３表!$C$80:$C$136,0),6),[7]設定!$H37))</f>
        <v>163.80000000000001</v>
      </c>
      <c r="K23" s="54">
        <f>IF($D23="","",IF([7]設定!$H37="",INDEX([7]第３表!$F$80:$Q$136,MATCH([7]設定!$D37,[7]第３表!$C$80:$C$136,0),7),[7]設定!$H37))</f>
        <v>158</v>
      </c>
      <c r="L23" s="55">
        <f>IF($D23="","",IF([7]設定!$H37="",INDEX([7]第３表!$F$80:$Q$136,MATCH([7]設定!$D37,[7]第３表!$C$80:$C$136,0),8),[7]設定!$H37))</f>
        <v>5.8</v>
      </c>
      <c r="M23" s="56">
        <f>IF($D23="","",IF([7]設定!$H37="",INDEX([7]第３表!$F$80:$Q$136,MATCH([7]設定!$D37,[7]第３表!$C$80:$C$136,0),9),[7]設定!$H37))</f>
        <v>20.7</v>
      </c>
      <c r="N23" s="56">
        <f>IF($D23="","",IF([7]設定!$H37="",INDEX([7]第３表!$F$80:$Q$136,MATCH([7]設定!$D37,[7]第３表!$C$80:$C$136,0),10),[7]設定!$H37))</f>
        <v>162.80000000000001</v>
      </c>
      <c r="O23" s="56">
        <f>IF($D23="","",IF([7]設定!$H37="",INDEX([7]第３表!$F$80:$Q$136,MATCH([7]設定!$D37,[7]第３表!$C$80:$C$136,0),11),[7]設定!$H37))</f>
        <v>157.19999999999999</v>
      </c>
      <c r="P23" s="57">
        <f>IF($D23="","",IF([7]設定!$H37="",INDEX([7]第３表!$F$80:$Q$136,MATCH([7]設定!$D37,[7]第３表!$C$80:$C$136,0),12),[7]設定!$H37))</f>
        <v>5.6</v>
      </c>
    </row>
    <row r="24" spans="2:16" s="8" customFormat="1" ht="17.25" customHeight="1" x14ac:dyDescent="0.45">
      <c r="B24" s="49" t="str">
        <f>+[8]第５表!B24</f>
        <v>R</v>
      </c>
      <c r="C24" s="50"/>
      <c r="D24" s="62" t="str">
        <f>+[8]第５表!D24</f>
        <v>サービス業（他に分類されないもの）</v>
      </c>
      <c r="E24" s="52">
        <f>IF($D24="","",IF([7]設定!$H38="",INDEX([7]第３表!$F$80:$Q$136,MATCH([7]設定!$D38,[7]第３表!$C$80:$C$136,0),1),[7]設定!$H38))</f>
        <v>18.5</v>
      </c>
      <c r="F24" s="52">
        <f>IF($D24="","",IF([7]設定!$H38="",INDEX([7]第３表!$F$80:$Q$136,MATCH([7]設定!$D38,[7]第３表!$C$80:$C$136,0),2),[7]設定!$H38))</f>
        <v>139.6</v>
      </c>
      <c r="G24" s="52">
        <f>IF($D24="","",IF([7]設定!$H38="",INDEX([7]第３表!$F$80:$Q$136,MATCH([7]設定!$D38,[7]第３表!$C$80:$C$136,0),3),[7]設定!$H38))</f>
        <v>131.4</v>
      </c>
      <c r="H24" s="53">
        <f>IF($D24="","",IF([7]設定!$H38="",INDEX([7]第３表!$F$80:$Q$136,MATCH([7]設定!$D38,[7]第３表!$C$80:$C$136,0),4),[7]設定!$H38))</f>
        <v>8.1999999999999993</v>
      </c>
      <c r="I24" s="54">
        <f>IF($D24="","",IF([7]設定!$H38="",INDEX([7]第３表!$F$80:$Q$136,MATCH([7]設定!$D38,[7]第３表!$C$80:$C$136,0),5),[7]設定!$H38))</f>
        <v>19.2</v>
      </c>
      <c r="J24" s="54">
        <f>IF($D24="","",IF([7]設定!$H38="",INDEX([7]第３表!$F$80:$Q$136,MATCH([7]設定!$D38,[7]第３表!$C$80:$C$136,0),6),[7]設定!$H38))</f>
        <v>156</v>
      </c>
      <c r="K24" s="54">
        <f>IF($D24="","",IF([7]設定!$H38="",INDEX([7]第３表!$F$80:$Q$136,MATCH([7]設定!$D38,[7]第３表!$C$80:$C$136,0),7),[7]設定!$H38))</f>
        <v>144</v>
      </c>
      <c r="L24" s="55">
        <f>IF($D24="","",IF([7]設定!$H38="",INDEX([7]第３表!$F$80:$Q$136,MATCH([7]設定!$D38,[7]第３表!$C$80:$C$136,0),8),[7]設定!$H38))</f>
        <v>12</v>
      </c>
      <c r="M24" s="56">
        <f>IF($D24="","",IF([7]設定!$H38="",INDEX([7]第３表!$F$80:$Q$136,MATCH([7]設定!$D38,[7]第３表!$C$80:$C$136,0),9),[7]設定!$H38))</f>
        <v>17.8</v>
      </c>
      <c r="N24" s="56">
        <f>IF($D24="","",IF([7]設定!$H38="",INDEX([7]第３表!$F$80:$Q$136,MATCH([7]設定!$D38,[7]第３表!$C$80:$C$136,0),10),[7]設定!$H38))</f>
        <v>124.1</v>
      </c>
      <c r="O24" s="56">
        <f>IF($D24="","",IF([7]設定!$H38="",INDEX([7]第３表!$F$80:$Q$136,MATCH([7]設定!$D38,[7]第３表!$C$80:$C$136,0),11),[7]設定!$H38))</f>
        <v>119.5</v>
      </c>
      <c r="P24" s="57">
        <f>IF($D24="","",IF([7]設定!$H38="",INDEX([7]第３表!$F$80:$Q$136,MATCH([7]設定!$D38,[7]第３表!$C$80:$C$136,0),12),[7]設定!$H38))</f>
        <v>4.5999999999999996</v>
      </c>
    </row>
    <row r="25" spans="2:16" s="8" customFormat="1" ht="17.25" customHeight="1" x14ac:dyDescent="0.45">
      <c r="B25" s="45" t="str">
        <f>+[8]第５表!B25</f>
        <v>E09,10</v>
      </c>
      <c r="C25" s="46"/>
      <c r="D25" s="63" t="str">
        <f>+[8]第５表!D25</f>
        <v>食料品・たばこ</v>
      </c>
      <c r="E25" s="48">
        <f>IF($D25="","",IF([7]設定!$H39="",INDEX([7]第３表!$F$80:$Q$136,MATCH([7]設定!$D39,[7]第３表!$C$80:$C$136,0),1),[7]設定!$H39))</f>
        <v>19.899999999999999</v>
      </c>
      <c r="F25" s="48">
        <f>IF($D25="","",IF([7]設定!$H39="",INDEX([7]第３表!$F$80:$Q$136,MATCH([7]設定!$D39,[7]第３表!$C$80:$C$136,0),2),[7]設定!$H39))</f>
        <v>156.5</v>
      </c>
      <c r="G25" s="48">
        <f>IF($D25="","",IF([7]設定!$H39="",INDEX([7]第３表!$F$80:$Q$136,MATCH([7]設定!$D39,[7]第３表!$C$80:$C$136,0),3),[7]設定!$H39))</f>
        <v>144.1</v>
      </c>
      <c r="H25" s="64">
        <f>IF($D25="","",IF([7]設定!$H39="",INDEX([7]第３表!$F$80:$Q$136,MATCH([7]設定!$D39,[7]第３表!$C$80:$C$136,0),4),[7]設定!$H39))</f>
        <v>12.4</v>
      </c>
      <c r="I25" s="48">
        <f>IF($D25="","",IF([7]設定!$H39="",INDEX([7]第３表!$F$80:$Q$136,MATCH([7]設定!$D39,[7]第３表!$C$80:$C$136,0),5),[7]設定!$H39))</f>
        <v>20.6</v>
      </c>
      <c r="J25" s="48">
        <f>IF($D25="","",IF([7]設定!$H39="",INDEX([7]第３表!$F$80:$Q$136,MATCH([7]設定!$D39,[7]第３表!$C$80:$C$136,0),6),[7]設定!$H39))</f>
        <v>174</v>
      </c>
      <c r="K25" s="48">
        <f>IF($D25="","",IF([7]設定!$H39="",INDEX([7]第３表!$F$80:$Q$136,MATCH([7]設定!$D39,[7]第３表!$C$80:$C$136,0),7),[7]設定!$H39))</f>
        <v>156.4</v>
      </c>
      <c r="L25" s="64">
        <f>IF($D25="","",IF([7]設定!$H39="",INDEX([7]第３表!$F$80:$Q$136,MATCH([7]設定!$D39,[7]第３表!$C$80:$C$136,0),8),[7]設定!$H39))</f>
        <v>17.600000000000001</v>
      </c>
      <c r="M25" s="48">
        <f>IF($D25="","",IF([7]設定!$H39="",INDEX([7]第３表!$F$80:$Q$136,MATCH([7]設定!$D39,[7]第３表!$C$80:$C$136,0),9),[7]設定!$H39))</f>
        <v>19.399999999999999</v>
      </c>
      <c r="N25" s="48">
        <f>IF($D25="","",IF([7]設定!$H39="",INDEX([7]第３表!$F$80:$Q$136,MATCH([7]設定!$D39,[7]第３表!$C$80:$C$136,0),10),[7]設定!$H39))</f>
        <v>144.4</v>
      </c>
      <c r="O25" s="48">
        <f>IF($D25="","",IF([7]設定!$H39="",INDEX([7]第３表!$F$80:$Q$136,MATCH([7]設定!$D39,[7]第３表!$C$80:$C$136,0),11),[7]設定!$H39))</f>
        <v>135.6</v>
      </c>
      <c r="P25" s="64">
        <f>IF($D25="","",IF([7]設定!$H39="",INDEX([7]第３表!$F$80:$Q$136,MATCH([7]設定!$D39,[7]第３表!$C$80:$C$136,0),12),[7]設定!$H39))</f>
        <v>8.8000000000000007</v>
      </c>
    </row>
    <row r="26" spans="2:16" s="8" customFormat="1" ht="17.25" customHeight="1" x14ac:dyDescent="0.45">
      <c r="B26" s="49" t="str">
        <f>+[8]第５表!B26</f>
        <v>E11</v>
      </c>
      <c r="C26" s="50"/>
      <c r="D26" s="65" t="str">
        <f>+[8]第５表!D26</f>
        <v>繊維工業</v>
      </c>
      <c r="E26" s="52">
        <f>IF($D26="","",IF([7]設定!$H40="",INDEX([7]第３表!$F$80:$Q$136,MATCH([7]設定!$D40,[7]第３表!$C$80:$C$136,0),1),[7]設定!$H40))</f>
        <v>20.399999999999999</v>
      </c>
      <c r="F26" s="52">
        <f>IF($D26="","",IF([7]設定!$H40="",INDEX([7]第３表!$F$80:$Q$136,MATCH([7]設定!$D40,[7]第３表!$C$80:$C$136,0),2),[7]設定!$H40))</f>
        <v>166.7</v>
      </c>
      <c r="G26" s="52">
        <f>IF($D26="","",IF([7]設定!$H40="",INDEX([7]第３表!$F$80:$Q$136,MATCH([7]設定!$D40,[7]第３表!$C$80:$C$136,0),3),[7]設定!$H40))</f>
        <v>153.6</v>
      </c>
      <c r="H26" s="55">
        <f>IF($D26="","",IF([7]設定!$H40="",INDEX([7]第３表!$F$80:$Q$136,MATCH([7]設定!$D40,[7]第３表!$C$80:$C$136,0),4),[7]設定!$H40))</f>
        <v>13.1</v>
      </c>
      <c r="I26" s="52">
        <f>IF($D26="","",IF([7]設定!$H40="",INDEX([7]第３表!$F$80:$Q$136,MATCH([7]設定!$D40,[7]第３表!$C$80:$C$136,0),5),[7]設定!$H40))</f>
        <v>20.3</v>
      </c>
      <c r="J26" s="52">
        <f>IF($D26="","",IF([7]設定!$H40="",INDEX([7]第３表!$F$80:$Q$136,MATCH([7]設定!$D40,[7]第３表!$C$80:$C$136,0),6),[7]設定!$H40))</f>
        <v>168.2</v>
      </c>
      <c r="K26" s="52">
        <f>IF($D26="","",IF([7]設定!$H40="",INDEX([7]第３表!$F$80:$Q$136,MATCH([7]設定!$D40,[7]第３表!$C$80:$C$136,0),7),[7]設定!$H40))</f>
        <v>152.1</v>
      </c>
      <c r="L26" s="55">
        <f>IF($D26="","",IF([7]設定!$H40="",INDEX([7]第３表!$F$80:$Q$136,MATCH([7]設定!$D40,[7]第３表!$C$80:$C$136,0),8),[7]設定!$H40))</f>
        <v>16.100000000000001</v>
      </c>
      <c r="M26" s="52">
        <f>IF($D26="","",IF([7]設定!$H40="",INDEX([7]第３表!$F$80:$Q$136,MATCH([7]設定!$D40,[7]第３表!$C$80:$C$136,0),9),[7]設定!$H40))</f>
        <v>20.399999999999999</v>
      </c>
      <c r="N26" s="52">
        <f>IF($D26="","",IF([7]設定!$H40="",INDEX([7]第３表!$F$80:$Q$136,MATCH([7]設定!$D40,[7]第３表!$C$80:$C$136,0),10),[7]設定!$H40))</f>
        <v>165.9</v>
      </c>
      <c r="O26" s="52">
        <f>IF($D26="","",IF([7]設定!$H40="",INDEX([7]第３表!$F$80:$Q$136,MATCH([7]設定!$D40,[7]第３表!$C$80:$C$136,0),11),[7]設定!$H40))</f>
        <v>154.5</v>
      </c>
      <c r="P26" s="55">
        <f>IF($D26="","",IF([7]設定!$H40="",INDEX([7]第３表!$F$80:$Q$136,MATCH([7]設定!$D40,[7]第３表!$C$80:$C$136,0),12),[7]設定!$H40))</f>
        <v>11.4</v>
      </c>
    </row>
    <row r="27" spans="2:16" s="8" customFormat="1" ht="17.25" customHeight="1" x14ac:dyDescent="0.45">
      <c r="B27" s="49" t="str">
        <f>+[8]第５表!B27</f>
        <v>E12</v>
      </c>
      <c r="C27" s="50"/>
      <c r="D27" s="65" t="str">
        <f>+[8]第５表!D27</f>
        <v>木材・木製品</v>
      </c>
      <c r="E27" s="52">
        <f>IF($D27="","",IF([7]設定!$H41="",INDEX([7]第３表!$F$80:$Q$136,MATCH([7]設定!$D41,[7]第３表!$C$80:$C$136,0),1),[7]設定!$H41))</f>
        <v>18.5</v>
      </c>
      <c r="F27" s="52">
        <f>IF($D27="","",IF([7]設定!$H41="",INDEX([7]第３表!$F$80:$Q$136,MATCH([7]設定!$D41,[7]第３表!$C$80:$C$136,0),2),[7]設定!$H41))</f>
        <v>144.9</v>
      </c>
      <c r="G27" s="52">
        <f>IF($D27="","",IF([7]設定!$H41="",INDEX([7]第３表!$F$80:$Q$136,MATCH([7]設定!$D41,[7]第３表!$C$80:$C$136,0),3),[7]設定!$H41))</f>
        <v>134.19999999999999</v>
      </c>
      <c r="H27" s="55">
        <f>IF($D27="","",IF([7]設定!$H41="",INDEX([7]第３表!$F$80:$Q$136,MATCH([7]設定!$D41,[7]第３表!$C$80:$C$136,0),4),[7]設定!$H41))</f>
        <v>10.7</v>
      </c>
      <c r="I27" s="52">
        <f>IF($D27="","",IF([7]設定!$H41="",INDEX([7]第３表!$F$80:$Q$136,MATCH([7]設定!$D41,[7]第３表!$C$80:$C$136,0),5),[7]設定!$H41))</f>
        <v>18</v>
      </c>
      <c r="J27" s="52">
        <f>IF($D27="","",IF([7]設定!$H41="",INDEX([7]第３表!$F$80:$Q$136,MATCH([7]設定!$D41,[7]第３表!$C$80:$C$136,0),6),[7]設定!$H41))</f>
        <v>146.5</v>
      </c>
      <c r="K27" s="52">
        <f>IF($D27="","",IF([7]設定!$H41="",INDEX([7]第３表!$F$80:$Q$136,MATCH([7]設定!$D41,[7]第３表!$C$80:$C$136,0),7),[7]設定!$H41))</f>
        <v>132.69999999999999</v>
      </c>
      <c r="L27" s="55">
        <f>IF($D27="","",IF([7]設定!$H41="",INDEX([7]第３表!$F$80:$Q$136,MATCH([7]設定!$D41,[7]第３表!$C$80:$C$136,0),8),[7]設定!$H41))</f>
        <v>13.8</v>
      </c>
      <c r="M27" s="52">
        <f>IF($D27="","",IF([7]設定!$H41="",INDEX([7]第３表!$F$80:$Q$136,MATCH([7]設定!$D41,[7]第３表!$C$80:$C$136,0),9),[7]設定!$H41))</f>
        <v>19.5</v>
      </c>
      <c r="N27" s="52">
        <f>IF($D27="","",IF([7]設定!$H41="",INDEX([7]第３表!$F$80:$Q$136,MATCH([7]設定!$D41,[7]第３表!$C$80:$C$136,0),10),[7]設定!$H41))</f>
        <v>141.5</v>
      </c>
      <c r="O27" s="52">
        <f>IF($D27="","",IF([7]設定!$H41="",INDEX([7]第３表!$F$80:$Q$136,MATCH([7]設定!$D41,[7]第３表!$C$80:$C$136,0),11),[7]設定!$H41))</f>
        <v>137.30000000000001</v>
      </c>
      <c r="P27" s="55">
        <f>IF($D27="","",IF([7]設定!$H41="",INDEX([7]第３表!$F$80:$Q$136,MATCH([7]設定!$D41,[7]第３表!$C$80:$C$136,0),12),[7]設定!$H41))</f>
        <v>4.2</v>
      </c>
    </row>
    <row r="28" spans="2:16" s="8" customFormat="1" ht="17.25" customHeight="1" x14ac:dyDescent="0.45">
      <c r="B28" s="49" t="str">
        <f>+[8]第５表!B28</f>
        <v>E13</v>
      </c>
      <c r="C28" s="50"/>
      <c r="D28" s="65" t="str">
        <f>+[8]第５表!D28</f>
        <v>家具・装備品</v>
      </c>
      <c r="E28" s="52" t="str">
        <f>IF($D28="","",IF([7]設定!$H42="",INDEX([7]第３表!$F$80:$Q$136,MATCH([7]設定!$D42,[7]第３表!$C$80:$C$136,0),1),[7]設定!$H42))</f>
        <v>x</v>
      </c>
      <c r="F28" s="52" t="str">
        <f>IF($D28="","",IF([7]設定!$H42="",INDEX([7]第３表!$F$80:$Q$136,MATCH([7]設定!$D42,[7]第３表!$C$80:$C$136,0),2),[7]設定!$H42))</f>
        <v>x</v>
      </c>
      <c r="G28" s="52" t="str">
        <f>IF($D28="","",IF([7]設定!$H42="",INDEX([7]第３表!$F$80:$Q$136,MATCH([7]設定!$D42,[7]第３表!$C$80:$C$136,0),3),[7]設定!$H42))</f>
        <v>x</v>
      </c>
      <c r="H28" s="55" t="str">
        <f>IF($D28="","",IF([7]設定!$H42="",INDEX([7]第３表!$F$80:$Q$136,MATCH([7]設定!$D42,[7]第３表!$C$80:$C$136,0),4),[7]設定!$H42))</f>
        <v>x</v>
      </c>
      <c r="I28" s="52" t="str">
        <f>IF($D28="","",IF([7]設定!$H42="",INDEX([7]第３表!$F$80:$Q$136,MATCH([7]設定!$D42,[7]第３表!$C$80:$C$136,0),5),[7]設定!$H42))</f>
        <v>x</v>
      </c>
      <c r="J28" s="52" t="str">
        <f>IF($D28="","",IF([7]設定!$H42="",INDEX([7]第３表!$F$80:$Q$136,MATCH([7]設定!$D42,[7]第３表!$C$80:$C$136,0),6),[7]設定!$H42))</f>
        <v>x</v>
      </c>
      <c r="K28" s="52" t="str">
        <f>IF($D28="","",IF([7]設定!$H42="",INDEX([7]第３表!$F$80:$Q$136,MATCH([7]設定!$D42,[7]第３表!$C$80:$C$136,0),7),[7]設定!$H42))</f>
        <v>x</v>
      </c>
      <c r="L28" s="55" t="str">
        <f>IF($D28="","",IF([7]設定!$H42="",INDEX([7]第３表!$F$80:$Q$136,MATCH([7]設定!$D42,[7]第３表!$C$80:$C$136,0),8),[7]設定!$H42))</f>
        <v>x</v>
      </c>
      <c r="M28" s="52" t="str">
        <f>IF($D28="","",IF([7]設定!$H42="",INDEX([7]第３表!$F$80:$Q$136,MATCH([7]設定!$D42,[7]第３表!$C$80:$C$136,0),9),[7]設定!$H42))</f>
        <v>x</v>
      </c>
      <c r="N28" s="52" t="str">
        <f>IF($D28="","",IF([7]設定!$H42="",INDEX([7]第３表!$F$80:$Q$136,MATCH([7]設定!$D42,[7]第３表!$C$80:$C$136,0),10),[7]設定!$H42))</f>
        <v>x</v>
      </c>
      <c r="O28" s="52" t="str">
        <f>IF($D28="","",IF([7]設定!$H42="",INDEX([7]第３表!$F$80:$Q$136,MATCH([7]設定!$D42,[7]第３表!$C$80:$C$136,0),11),[7]設定!$H42))</f>
        <v>x</v>
      </c>
      <c r="P28" s="55" t="str">
        <f>IF($D28="","",IF([7]設定!$H42="",INDEX([7]第３表!$F$80:$Q$136,MATCH([7]設定!$D42,[7]第３表!$C$80:$C$136,0),12),[7]設定!$H42))</f>
        <v>x</v>
      </c>
    </row>
    <row r="29" spans="2:16" s="8" customFormat="1" ht="17.25" customHeight="1" x14ac:dyDescent="0.45">
      <c r="B29" s="49" t="str">
        <f>+[8]第５表!B29</f>
        <v>E15</v>
      </c>
      <c r="C29" s="50"/>
      <c r="D29" s="65" t="str">
        <f>+[8]第５表!D29</f>
        <v>印刷・同関連業</v>
      </c>
      <c r="E29" s="52">
        <f>IF($D29="","",IF([7]設定!$H43="",INDEX([7]第３表!$F$80:$Q$136,MATCH([7]設定!$D43,[7]第３表!$C$80:$C$136,0),1),[7]設定!$H43))</f>
        <v>19.899999999999999</v>
      </c>
      <c r="F29" s="52">
        <f>IF($D29="","",IF([7]設定!$H43="",INDEX([7]第３表!$F$80:$Q$136,MATCH([7]設定!$D43,[7]第３表!$C$80:$C$136,0),2),[7]設定!$H43))</f>
        <v>157.30000000000001</v>
      </c>
      <c r="G29" s="52">
        <f>IF($D29="","",IF([7]設定!$H43="",INDEX([7]第３表!$F$80:$Q$136,MATCH([7]設定!$D43,[7]第３表!$C$80:$C$136,0),3),[7]設定!$H43))</f>
        <v>151</v>
      </c>
      <c r="H29" s="55">
        <f>IF($D29="","",IF([7]設定!$H43="",INDEX([7]第３表!$F$80:$Q$136,MATCH([7]設定!$D43,[7]第３表!$C$80:$C$136,0),4),[7]設定!$H43))</f>
        <v>6.3</v>
      </c>
      <c r="I29" s="52">
        <f>IF($D29="","",IF([7]設定!$H43="",INDEX([7]第３表!$F$80:$Q$136,MATCH([7]設定!$D43,[7]第３表!$C$80:$C$136,0),5),[7]設定!$H43))</f>
        <v>19.7</v>
      </c>
      <c r="J29" s="52">
        <f>IF($D29="","",IF([7]設定!$H43="",INDEX([7]第３表!$F$80:$Q$136,MATCH([7]設定!$D43,[7]第３表!$C$80:$C$136,0),6),[7]設定!$H43))</f>
        <v>159.4</v>
      </c>
      <c r="K29" s="52">
        <f>IF($D29="","",IF([7]設定!$H43="",INDEX([7]第３表!$F$80:$Q$136,MATCH([7]設定!$D43,[7]第３表!$C$80:$C$136,0),7),[7]設定!$H43))</f>
        <v>151.69999999999999</v>
      </c>
      <c r="L29" s="55">
        <f>IF($D29="","",IF([7]設定!$H43="",INDEX([7]第３表!$F$80:$Q$136,MATCH([7]設定!$D43,[7]第３表!$C$80:$C$136,0),8),[7]設定!$H43))</f>
        <v>7.7</v>
      </c>
      <c r="M29" s="52">
        <f>IF($D29="","",IF([7]設定!$H43="",INDEX([7]第３表!$F$80:$Q$136,MATCH([7]設定!$D43,[7]第３表!$C$80:$C$136,0),9),[7]設定!$H43))</f>
        <v>20.399999999999999</v>
      </c>
      <c r="N29" s="52">
        <f>IF($D29="","",IF([7]設定!$H43="",INDEX([7]第３表!$F$80:$Q$136,MATCH([7]設定!$D43,[7]第３表!$C$80:$C$136,0),10),[7]設定!$H43))</f>
        <v>152.80000000000001</v>
      </c>
      <c r="O29" s="52">
        <f>IF($D29="","",IF([7]設定!$H43="",INDEX([7]第３表!$F$80:$Q$136,MATCH([7]設定!$D43,[7]第３表!$C$80:$C$136,0),11),[7]設定!$H43))</f>
        <v>149.5</v>
      </c>
      <c r="P29" s="55">
        <f>IF($D29="","",IF([7]設定!$H43="",INDEX([7]第３表!$F$80:$Q$136,MATCH([7]設定!$D43,[7]第３表!$C$80:$C$136,0),12),[7]設定!$H43))</f>
        <v>3.3</v>
      </c>
    </row>
    <row r="30" spans="2:16" s="8" customFormat="1" ht="17.25" customHeight="1" x14ac:dyDescent="0.45">
      <c r="B30" s="49" t="str">
        <f>+[8]第５表!B30</f>
        <v>E16,17</v>
      </c>
      <c r="C30" s="50"/>
      <c r="D30" s="65" t="str">
        <f>+[8]第５表!D30</f>
        <v>化学、石油・石炭</v>
      </c>
      <c r="E30" s="52">
        <f>IF($D30="","",IF([7]設定!$H44="",INDEX([7]第３表!$F$80:$Q$136,MATCH([7]設定!$D44,[7]第３表!$C$80:$C$136,0),1),[7]設定!$H44))</f>
        <v>19.5</v>
      </c>
      <c r="F30" s="52">
        <f>IF($D30="","",IF([7]設定!$H44="",INDEX([7]第３表!$F$80:$Q$136,MATCH([7]設定!$D44,[7]第３表!$C$80:$C$136,0),2),[7]設定!$H44))</f>
        <v>159</v>
      </c>
      <c r="G30" s="52">
        <f>IF($D30="","",IF([7]設定!$H44="",INDEX([7]第３表!$F$80:$Q$136,MATCH([7]設定!$D44,[7]第３表!$C$80:$C$136,0),3),[7]設定!$H44))</f>
        <v>142.5</v>
      </c>
      <c r="H30" s="55">
        <f>IF($D30="","",IF([7]設定!$H44="",INDEX([7]第３表!$F$80:$Q$136,MATCH([7]設定!$D44,[7]第３表!$C$80:$C$136,0),4),[7]設定!$H44))</f>
        <v>16.5</v>
      </c>
      <c r="I30" s="52">
        <f>IF($D30="","",IF([7]設定!$H44="",INDEX([7]第３表!$F$80:$Q$136,MATCH([7]設定!$D44,[7]第３表!$C$80:$C$136,0),5),[7]設定!$H44))</f>
        <v>19.5</v>
      </c>
      <c r="J30" s="52">
        <f>IF($D30="","",IF([7]設定!$H44="",INDEX([7]第３表!$F$80:$Q$136,MATCH([7]設定!$D44,[7]第３表!$C$80:$C$136,0),6),[7]設定!$H44))</f>
        <v>159.80000000000001</v>
      </c>
      <c r="K30" s="52">
        <f>IF($D30="","",IF([7]設定!$H44="",INDEX([7]第３表!$F$80:$Q$136,MATCH([7]設定!$D44,[7]第３表!$C$80:$C$136,0),7),[7]設定!$H44))</f>
        <v>142.5</v>
      </c>
      <c r="L30" s="55">
        <f>IF($D30="","",IF([7]設定!$H44="",INDEX([7]第３表!$F$80:$Q$136,MATCH([7]設定!$D44,[7]第３表!$C$80:$C$136,0),8),[7]設定!$H44))</f>
        <v>17.3</v>
      </c>
      <c r="M30" s="52">
        <f>IF($D30="","",IF([7]設定!$H44="",INDEX([7]第３表!$F$80:$Q$136,MATCH([7]設定!$D44,[7]第３表!$C$80:$C$136,0),9),[7]設定!$H44))</f>
        <v>19.3</v>
      </c>
      <c r="N30" s="52">
        <f>IF($D30="","",IF([7]設定!$H44="",INDEX([7]第３表!$F$80:$Q$136,MATCH([7]設定!$D44,[7]第３表!$C$80:$C$136,0),10),[7]設定!$H44))</f>
        <v>149</v>
      </c>
      <c r="O30" s="52">
        <f>IF($D30="","",IF([7]設定!$H44="",INDEX([7]第３表!$F$80:$Q$136,MATCH([7]設定!$D44,[7]第３表!$C$80:$C$136,0),11),[7]設定!$H44))</f>
        <v>143</v>
      </c>
      <c r="P30" s="55">
        <f>IF($D30="","",IF([7]設定!$H44="",INDEX([7]第３表!$F$80:$Q$136,MATCH([7]設定!$D44,[7]第３表!$C$80:$C$136,0),12),[7]設定!$H44))</f>
        <v>6</v>
      </c>
    </row>
    <row r="31" spans="2:16" s="8" customFormat="1" ht="17.25" customHeight="1" x14ac:dyDescent="0.45">
      <c r="B31" s="49" t="str">
        <f>+[8]第５表!B31</f>
        <v>E18</v>
      </c>
      <c r="C31" s="50"/>
      <c r="D31" s="65" t="str">
        <f>+[8]第５表!D31</f>
        <v>プラスチック製品</v>
      </c>
      <c r="E31" s="52">
        <f>IF($D31="","",IF([7]設定!$H45="",INDEX([7]第３表!$F$80:$Q$136,MATCH([7]設定!$D45,[7]第３表!$C$80:$C$136,0),1),[7]設定!$H45))</f>
        <v>20.6</v>
      </c>
      <c r="F31" s="52">
        <f>IF($D31="","",IF([7]設定!$H45="",INDEX([7]第３表!$F$80:$Q$136,MATCH([7]設定!$D45,[7]第３表!$C$80:$C$136,0),2),[7]設定!$H45))</f>
        <v>165.2</v>
      </c>
      <c r="G31" s="52">
        <f>IF($D31="","",IF([7]設定!$H45="",INDEX([7]第３表!$F$80:$Q$136,MATCH([7]設定!$D45,[7]第３表!$C$80:$C$136,0),3),[7]設定!$H45))</f>
        <v>151.9</v>
      </c>
      <c r="H31" s="55">
        <f>IF($D31="","",IF([7]設定!$H45="",INDEX([7]第３表!$F$80:$Q$136,MATCH([7]設定!$D45,[7]第３表!$C$80:$C$136,0),4),[7]設定!$H45))</f>
        <v>13.3</v>
      </c>
      <c r="I31" s="52">
        <f>IF($D31="","",IF([7]設定!$H45="",INDEX([7]第３表!$F$80:$Q$136,MATCH([7]設定!$D45,[7]第３表!$C$80:$C$136,0),5),[7]設定!$H45))</f>
        <v>20.9</v>
      </c>
      <c r="J31" s="52">
        <f>IF($D31="","",IF([7]設定!$H45="",INDEX([7]第３表!$F$80:$Q$136,MATCH([7]設定!$D45,[7]第３表!$C$80:$C$136,0),6),[7]設定!$H45))</f>
        <v>174.6</v>
      </c>
      <c r="K31" s="52">
        <f>IF($D31="","",IF([7]設定!$H45="",INDEX([7]第３表!$F$80:$Q$136,MATCH([7]設定!$D45,[7]第３表!$C$80:$C$136,0),7),[7]設定!$H45))</f>
        <v>157.4</v>
      </c>
      <c r="L31" s="55">
        <f>IF($D31="","",IF([7]設定!$H45="",INDEX([7]第３表!$F$80:$Q$136,MATCH([7]設定!$D45,[7]第３表!$C$80:$C$136,0),8),[7]設定!$H45))</f>
        <v>17.2</v>
      </c>
      <c r="M31" s="52">
        <f>IF($D31="","",IF([7]設定!$H45="",INDEX([7]第３表!$F$80:$Q$136,MATCH([7]設定!$D45,[7]第３表!$C$80:$C$136,0),9),[7]設定!$H45))</f>
        <v>19.899999999999999</v>
      </c>
      <c r="N31" s="52">
        <f>IF($D31="","",IF([7]設定!$H45="",INDEX([7]第３表!$F$80:$Q$136,MATCH([7]設定!$D45,[7]第３表!$C$80:$C$136,0),10),[7]設定!$H45))</f>
        <v>136.69999999999999</v>
      </c>
      <c r="O31" s="52">
        <f>IF($D31="","",IF([7]設定!$H45="",INDEX([7]第３表!$F$80:$Q$136,MATCH([7]設定!$D45,[7]第３表!$C$80:$C$136,0),11),[7]設定!$H45))</f>
        <v>135.19999999999999</v>
      </c>
      <c r="P31" s="55">
        <f>IF($D31="","",IF([7]設定!$H45="",INDEX([7]第３表!$F$80:$Q$136,MATCH([7]設定!$D45,[7]第３表!$C$80:$C$136,0),12),[7]設定!$H45))</f>
        <v>1.5</v>
      </c>
    </row>
    <row r="32" spans="2:16" s="8" customFormat="1" ht="17.25" customHeight="1" x14ac:dyDescent="0.45">
      <c r="B32" s="49" t="str">
        <f>+[8]第５表!B32</f>
        <v>E19</v>
      </c>
      <c r="C32" s="50"/>
      <c r="D32" s="65" t="str">
        <f>+[8]第５表!D32</f>
        <v>ゴム製品</v>
      </c>
      <c r="E32" s="52">
        <f>IF($D32="","",IF([7]設定!$H46="",INDEX([7]第３表!$F$80:$Q$136,MATCH([7]設定!$D46,[7]第３表!$C$80:$C$136,0),1),[7]設定!$H46))</f>
        <v>20.6</v>
      </c>
      <c r="F32" s="52">
        <f>IF($D32="","",IF([7]設定!$H46="",INDEX([7]第３表!$F$80:$Q$136,MATCH([7]設定!$D46,[7]第３表!$C$80:$C$136,0),2),[7]設定!$H46))</f>
        <v>172.6</v>
      </c>
      <c r="G32" s="52">
        <f>IF($D32="","",IF([7]設定!$H46="",INDEX([7]第３表!$F$80:$Q$136,MATCH([7]設定!$D46,[7]第３表!$C$80:$C$136,0),3),[7]設定!$H46))</f>
        <v>151.80000000000001</v>
      </c>
      <c r="H32" s="55">
        <f>IF($D32="","",IF([7]設定!$H46="",INDEX([7]第３表!$F$80:$Q$136,MATCH([7]設定!$D46,[7]第３表!$C$80:$C$136,0),4),[7]設定!$H46))</f>
        <v>20.8</v>
      </c>
      <c r="I32" s="52">
        <f>IF($D32="","",IF([7]設定!$H46="",INDEX([7]第３表!$F$80:$Q$136,MATCH([7]設定!$D46,[7]第３表!$C$80:$C$136,0),5),[7]設定!$H46))</f>
        <v>20.7</v>
      </c>
      <c r="J32" s="52">
        <f>IF($D32="","",IF([7]設定!$H46="",INDEX([7]第３表!$F$80:$Q$136,MATCH([7]設定!$D46,[7]第３表!$C$80:$C$136,0),6),[7]設定!$H46))</f>
        <v>174.3</v>
      </c>
      <c r="K32" s="52">
        <f>IF($D32="","",IF([7]設定!$H46="",INDEX([7]第３表!$F$80:$Q$136,MATCH([7]設定!$D46,[7]第３表!$C$80:$C$136,0),7),[7]設定!$H46))</f>
        <v>151.69999999999999</v>
      </c>
      <c r="L32" s="55">
        <f>IF($D32="","",IF([7]設定!$H46="",INDEX([7]第３表!$F$80:$Q$136,MATCH([7]設定!$D46,[7]第３表!$C$80:$C$136,0),8),[7]設定!$H46))</f>
        <v>22.6</v>
      </c>
      <c r="M32" s="52">
        <f>IF($D32="","",IF([7]設定!$H46="",INDEX([7]第３表!$F$80:$Q$136,MATCH([7]設定!$D46,[7]第３表!$C$80:$C$136,0),9),[7]設定!$H46))</f>
        <v>19.899999999999999</v>
      </c>
      <c r="N32" s="52">
        <f>IF($D32="","",IF([7]設定!$H46="",INDEX([7]第３表!$F$80:$Q$136,MATCH([7]設定!$D46,[7]第３表!$C$80:$C$136,0),10),[7]設定!$H46))</f>
        <v>160.80000000000001</v>
      </c>
      <c r="O32" s="52">
        <f>IF($D32="","",IF([7]設定!$H46="",INDEX([7]第３表!$F$80:$Q$136,MATCH([7]設定!$D46,[7]第３表!$C$80:$C$136,0),11),[7]設定!$H46))</f>
        <v>152.4</v>
      </c>
      <c r="P32" s="55">
        <f>IF($D32="","",IF([7]設定!$H46="",INDEX([7]第３表!$F$80:$Q$136,MATCH([7]設定!$D46,[7]第３表!$C$80:$C$136,0),12),[7]設定!$H46))</f>
        <v>8.4</v>
      </c>
    </row>
    <row r="33" spans="2:17" s="8" customFormat="1" ht="17.25" customHeight="1" x14ac:dyDescent="0.45">
      <c r="B33" s="49" t="str">
        <f>+[8]第５表!B33</f>
        <v>E21</v>
      </c>
      <c r="C33" s="50"/>
      <c r="D33" s="65" t="str">
        <f>+[8]第５表!D33</f>
        <v>窯業・土石製品</v>
      </c>
      <c r="E33" s="52">
        <f>IF($D33="","",IF([7]設定!$H47="",INDEX([7]第３表!$F$80:$Q$136,MATCH([7]設定!$D47,[7]第３表!$C$80:$C$136,0),1),[7]設定!$H47))</f>
        <v>21.2</v>
      </c>
      <c r="F33" s="52">
        <f>IF($D33="","",IF([7]設定!$H47="",INDEX([7]第３表!$F$80:$Q$136,MATCH([7]設定!$D47,[7]第３表!$C$80:$C$136,0),2),[7]設定!$H47))</f>
        <v>175.6</v>
      </c>
      <c r="G33" s="52">
        <f>IF($D33="","",IF([7]設定!$H47="",INDEX([7]第３表!$F$80:$Q$136,MATCH([7]設定!$D47,[7]第３表!$C$80:$C$136,0),3),[7]設定!$H47))</f>
        <v>167.2</v>
      </c>
      <c r="H33" s="55">
        <f>IF($D33="","",IF([7]設定!$H47="",INDEX([7]第３表!$F$80:$Q$136,MATCH([7]設定!$D47,[7]第３表!$C$80:$C$136,0),4),[7]設定!$H47))</f>
        <v>8.4</v>
      </c>
      <c r="I33" s="52">
        <f>IF($D33="","",IF([7]設定!$H47="",INDEX([7]第３表!$F$80:$Q$136,MATCH([7]設定!$D47,[7]第３表!$C$80:$C$136,0),5),[7]設定!$H47))</f>
        <v>20.9</v>
      </c>
      <c r="J33" s="52">
        <f>IF($D33="","",IF([7]設定!$H47="",INDEX([7]第３表!$F$80:$Q$136,MATCH([7]設定!$D47,[7]第３表!$C$80:$C$136,0),6),[7]設定!$H47))</f>
        <v>176.2</v>
      </c>
      <c r="K33" s="52">
        <f>IF($D33="","",IF([7]設定!$H47="",INDEX([7]第３表!$F$80:$Q$136,MATCH([7]設定!$D47,[7]第３表!$C$80:$C$136,0),7),[7]設定!$H47))</f>
        <v>165.8</v>
      </c>
      <c r="L33" s="55">
        <f>IF($D33="","",IF([7]設定!$H47="",INDEX([7]第３表!$F$80:$Q$136,MATCH([7]設定!$D47,[7]第３表!$C$80:$C$136,0),8),[7]設定!$H47))</f>
        <v>10.4</v>
      </c>
      <c r="M33" s="52">
        <f>IF($D33="","",IF([7]設定!$H47="",INDEX([7]第３表!$F$80:$Q$136,MATCH([7]設定!$D47,[7]第３表!$C$80:$C$136,0),9),[7]設定!$H47))</f>
        <v>22.2</v>
      </c>
      <c r="N33" s="52">
        <f>IF($D33="","",IF([7]設定!$H47="",INDEX([7]第３表!$F$80:$Q$136,MATCH([7]設定!$D47,[7]第３表!$C$80:$C$136,0),10),[7]設定!$H47))</f>
        <v>173.3</v>
      </c>
      <c r="O33" s="52">
        <f>IF($D33="","",IF([7]設定!$H47="",INDEX([7]第３表!$F$80:$Q$136,MATCH([7]設定!$D47,[7]第３表!$C$80:$C$136,0),11),[7]設定!$H47))</f>
        <v>171.9</v>
      </c>
      <c r="P33" s="55">
        <f>IF($D33="","",IF([7]設定!$H47="",INDEX([7]第３表!$F$80:$Q$136,MATCH([7]設定!$D47,[7]第３表!$C$80:$C$136,0),12),[7]設定!$H47))</f>
        <v>1.4</v>
      </c>
    </row>
    <row r="34" spans="2:17" s="8" customFormat="1" ht="17.25" customHeight="1" x14ac:dyDescent="0.45">
      <c r="B34" s="49" t="str">
        <f>+[8]第５表!B34</f>
        <v>E24</v>
      </c>
      <c r="C34" s="50"/>
      <c r="D34" s="65" t="str">
        <f>+[8]第５表!D34</f>
        <v>金属製品製造業</v>
      </c>
      <c r="E34" s="55">
        <f>IF($D34="","",IF([7]設定!$H48="",INDEX([7]第３表!$F$80:$Q$136,MATCH([7]設定!$D48,[7]第３表!$C$80:$C$136,0),1),[7]設定!$H48))</f>
        <v>21.7</v>
      </c>
      <c r="F34" s="55">
        <f>IF($D34="","",IF([7]設定!$H48="",INDEX([7]第３表!$F$80:$Q$136,MATCH([7]設定!$D48,[7]第３表!$C$80:$C$136,0),2),[7]設定!$H48))</f>
        <v>174.2</v>
      </c>
      <c r="G34" s="55">
        <f>IF($D34="","",IF([7]設定!$H48="",INDEX([7]第３表!$F$80:$Q$136,MATCH([7]設定!$D48,[7]第３表!$C$80:$C$136,0),3),[7]設定!$H48))</f>
        <v>160</v>
      </c>
      <c r="H34" s="55">
        <f>IF($D34="","",IF([7]設定!$H48="",INDEX([7]第３表!$F$80:$Q$136,MATCH([7]設定!$D48,[7]第３表!$C$80:$C$136,0),4),[7]設定!$H48))</f>
        <v>14.2</v>
      </c>
      <c r="I34" s="55">
        <f>IF($D34="","",IF([7]設定!$H48="",INDEX([7]第３表!$F$80:$Q$136,MATCH([7]設定!$D48,[7]第３表!$C$80:$C$136,0),5),[7]設定!$H48))</f>
        <v>21.7</v>
      </c>
      <c r="J34" s="55">
        <f>IF($D34="","",IF([7]設定!$H48="",INDEX([7]第３表!$F$80:$Q$136,MATCH([7]設定!$D48,[7]第３表!$C$80:$C$136,0),6),[7]設定!$H48))</f>
        <v>183.7</v>
      </c>
      <c r="K34" s="55">
        <f>IF($D34="","",IF([7]設定!$H48="",INDEX([7]第３表!$F$80:$Q$136,MATCH([7]設定!$D48,[7]第３表!$C$80:$C$136,0),7),[7]設定!$H48))</f>
        <v>165.4</v>
      </c>
      <c r="L34" s="55">
        <f>IF($D34="","",IF([7]設定!$H48="",INDEX([7]第３表!$F$80:$Q$136,MATCH([7]設定!$D48,[7]第３表!$C$80:$C$136,0),8),[7]設定!$H48))</f>
        <v>18.3</v>
      </c>
      <c r="M34" s="55">
        <f>IF($D34="","",IF([7]設定!$H48="",INDEX([7]第３表!$F$80:$Q$136,MATCH([7]設定!$D48,[7]第３表!$C$80:$C$136,0),9),[7]設定!$H48))</f>
        <v>21.6</v>
      </c>
      <c r="N34" s="55">
        <f>IF($D34="","",IF([7]設定!$H48="",INDEX([7]第３表!$F$80:$Q$136,MATCH([7]設定!$D48,[7]第３表!$C$80:$C$136,0),10),[7]設定!$H48))</f>
        <v>155.6</v>
      </c>
      <c r="O34" s="55">
        <f>IF($D34="","",IF([7]設定!$H48="",INDEX([7]第３表!$F$80:$Q$136,MATCH([7]設定!$D48,[7]第３表!$C$80:$C$136,0),11),[7]設定!$H48))</f>
        <v>149.5</v>
      </c>
      <c r="P34" s="55">
        <f>IF($D34="","",IF([7]設定!$H48="",INDEX([7]第３表!$F$80:$Q$136,MATCH([7]設定!$D48,[7]第３表!$C$80:$C$136,0),12),[7]設定!$H48))</f>
        <v>6.1</v>
      </c>
    </row>
    <row r="35" spans="2:17" s="8" customFormat="1" ht="17.25" customHeight="1" x14ac:dyDescent="0.45">
      <c r="B35" s="49" t="str">
        <f>+[8]第５表!B35</f>
        <v>E27</v>
      </c>
      <c r="C35" s="50"/>
      <c r="D35" s="65" t="str">
        <f>+[8]第５表!D35</f>
        <v>業務用機械器具</v>
      </c>
      <c r="E35" s="55">
        <f>IF($D35="","",IF([7]設定!$H49="",INDEX([7]第３表!$F$80:$Q$136,MATCH([7]設定!$D49,[7]第３表!$C$80:$C$136,0),1),[7]設定!$H49))</f>
        <v>19.899999999999999</v>
      </c>
      <c r="F35" s="55">
        <f>IF($D35="","",IF([7]設定!$H49="",INDEX([7]第３表!$F$80:$Q$136,MATCH([7]設定!$D49,[7]第３表!$C$80:$C$136,0),2),[7]設定!$H49))</f>
        <v>164.9</v>
      </c>
      <c r="G35" s="55">
        <f>IF($D35="","",IF([7]設定!$H49="",INDEX([7]第３表!$F$80:$Q$136,MATCH([7]設定!$D49,[7]第３表!$C$80:$C$136,0),3),[7]設定!$H49))</f>
        <v>156.1</v>
      </c>
      <c r="H35" s="55">
        <f>IF($D35="","",IF([7]設定!$H49="",INDEX([7]第３表!$F$80:$Q$136,MATCH([7]設定!$D49,[7]第３表!$C$80:$C$136,0),4),[7]設定!$H49))</f>
        <v>8.8000000000000007</v>
      </c>
      <c r="I35" s="55">
        <f>IF($D35="","",IF([7]設定!$H49="",INDEX([7]第３表!$F$80:$Q$136,MATCH([7]設定!$D49,[7]第３表!$C$80:$C$136,0),5),[7]設定!$H49))</f>
        <v>20.5</v>
      </c>
      <c r="J35" s="55">
        <f>IF($D35="","",IF([7]設定!$H49="",INDEX([7]第３表!$F$80:$Q$136,MATCH([7]設定!$D49,[7]第３表!$C$80:$C$136,0),6),[7]設定!$H49))</f>
        <v>171.5</v>
      </c>
      <c r="K35" s="55">
        <f>IF($D35="","",IF([7]設定!$H49="",INDEX([7]第３表!$F$80:$Q$136,MATCH([7]設定!$D49,[7]第３表!$C$80:$C$136,0),7),[7]設定!$H49))</f>
        <v>160</v>
      </c>
      <c r="L35" s="55">
        <f>IF($D35="","",IF([7]設定!$H49="",INDEX([7]第３表!$F$80:$Q$136,MATCH([7]設定!$D49,[7]第３表!$C$80:$C$136,0),8),[7]設定!$H49))</f>
        <v>11.5</v>
      </c>
      <c r="M35" s="55">
        <f>IF($D35="","",IF([7]設定!$H49="",INDEX([7]第３表!$F$80:$Q$136,MATCH([7]設定!$D49,[7]第３表!$C$80:$C$136,0),9),[7]設定!$H49))</f>
        <v>19.3</v>
      </c>
      <c r="N35" s="55">
        <f>IF($D35="","",IF([7]設定!$H49="",INDEX([7]第３表!$F$80:$Q$136,MATCH([7]設定!$D49,[7]第３表!$C$80:$C$136,0),10),[7]設定!$H49))</f>
        <v>158.9</v>
      </c>
      <c r="O35" s="55">
        <f>IF($D35="","",IF([7]設定!$H49="",INDEX([7]第３表!$F$80:$Q$136,MATCH([7]設定!$D49,[7]第３表!$C$80:$C$136,0),11),[7]設定!$H49))</f>
        <v>152.5</v>
      </c>
      <c r="P35" s="55">
        <f>IF($D35="","",IF([7]設定!$H49="",INDEX([7]第３表!$F$80:$Q$136,MATCH([7]設定!$D49,[7]第３表!$C$80:$C$136,0),12),[7]設定!$H49))</f>
        <v>6.4</v>
      </c>
    </row>
    <row r="36" spans="2:17" s="8" customFormat="1" ht="17.25" customHeight="1" x14ac:dyDescent="0.45">
      <c r="B36" s="49" t="str">
        <f>+[8]第５表!B36</f>
        <v>E28</v>
      </c>
      <c r="C36" s="50"/>
      <c r="D36" s="65" t="str">
        <f>+[8]第５表!D36</f>
        <v>電子・デバイス</v>
      </c>
      <c r="E36" s="55">
        <f>IF($D36="","",IF([7]設定!$H50="",INDEX([7]第３表!$F$80:$Q$136,MATCH([7]設定!$D50,[7]第３表!$C$80:$C$136,0),1),[7]設定!$H50))</f>
        <v>18.399999999999999</v>
      </c>
      <c r="F36" s="55">
        <f>IF($D36="","",IF([7]設定!$H50="",INDEX([7]第３表!$F$80:$Q$136,MATCH([7]設定!$D50,[7]第３表!$C$80:$C$136,0),2),[7]設定!$H50))</f>
        <v>158</v>
      </c>
      <c r="G36" s="55">
        <f>IF($D36="","",IF([7]設定!$H50="",INDEX([7]第３表!$F$80:$Q$136,MATCH([7]設定!$D50,[7]第３表!$C$80:$C$136,0),3),[7]設定!$H50))</f>
        <v>146.19999999999999</v>
      </c>
      <c r="H36" s="55">
        <f>IF($D36="","",IF([7]設定!$H50="",INDEX([7]第３表!$F$80:$Q$136,MATCH([7]設定!$D50,[7]第３表!$C$80:$C$136,0),4),[7]設定!$H50))</f>
        <v>11.8</v>
      </c>
      <c r="I36" s="55">
        <f>IF($D36="","",IF([7]設定!$H50="",INDEX([7]第３表!$F$80:$Q$136,MATCH([7]設定!$D50,[7]第３表!$C$80:$C$136,0),5),[7]設定!$H50))</f>
        <v>18.600000000000001</v>
      </c>
      <c r="J36" s="55">
        <f>IF($D36="","",IF([7]設定!$H50="",INDEX([7]第３表!$F$80:$Q$136,MATCH([7]設定!$D50,[7]第３表!$C$80:$C$136,0),6),[7]設定!$H50))</f>
        <v>165.2</v>
      </c>
      <c r="K36" s="55">
        <f>IF($D36="","",IF([7]設定!$H50="",INDEX([7]第３表!$F$80:$Q$136,MATCH([7]設定!$D50,[7]第３表!$C$80:$C$136,0),7),[7]設定!$H50))</f>
        <v>150.1</v>
      </c>
      <c r="L36" s="55">
        <f>IF($D36="","",IF([7]設定!$H50="",INDEX([7]第３表!$F$80:$Q$136,MATCH([7]設定!$D50,[7]第３表!$C$80:$C$136,0),8),[7]設定!$H50))</f>
        <v>15.1</v>
      </c>
      <c r="M36" s="55">
        <f>IF($D36="","",IF([7]設定!$H50="",INDEX([7]第３表!$F$80:$Q$136,MATCH([7]設定!$D50,[7]第３表!$C$80:$C$136,0),9),[7]設定!$H50))</f>
        <v>18</v>
      </c>
      <c r="N36" s="55">
        <f>IF($D36="","",IF([7]設定!$H50="",INDEX([7]第３表!$F$80:$Q$136,MATCH([7]設定!$D50,[7]第３表!$C$80:$C$136,0),10),[7]設定!$H50))</f>
        <v>144.1</v>
      </c>
      <c r="O36" s="55">
        <f>IF($D36="","",IF([7]設定!$H50="",INDEX([7]第３表!$F$80:$Q$136,MATCH([7]設定!$D50,[7]第３表!$C$80:$C$136,0),11),[7]設定!$H50))</f>
        <v>138.6</v>
      </c>
      <c r="P36" s="55">
        <f>IF($D36="","",IF([7]設定!$H50="",INDEX([7]第３表!$F$80:$Q$136,MATCH([7]設定!$D50,[7]第３表!$C$80:$C$136,0),12),[7]設定!$H50))</f>
        <v>5.5</v>
      </c>
    </row>
    <row r="37" spans="2:17" s="8" customFormat="1" ht="17.25" customHeight="1" x14ac:dyDescent="0.45">
      <c r="B37" s="49" t="str">
        <f>+[8]第５表!B37</f>
        <v>E29</v>
      </c>
      <c r="C37" s="50"/>
      <c r="D37" s="65" t="str">
        <f>+[8]第５表!D37</f>
        <v>電気機械器具</v>
      </c>
      <c r="E37" s="55">
        <f>IF($D37="","",IF([7]設定!$H51="",INDEX([7]第３表!$F$80:$Q$136,MATCH([7]設定!$D51,[7]第３表!$C$80:$C$136,0),1),[7]設定!$H51))</f>
        <v>21.2</v>
      </c>
      <c r="F37" s="55">
        <f>IF($D37="","",IF([7]設定!$H51="",INDEX([7]第３表!$F$80:$Q$136,MATCH([7]設定!$D51,[7]第３表!$C$80:$C$136,0),2),[7]設定!$H51))</f>
        <v>172.3</v>
      </c>
      <c r="G37" s="55">
        <f>IF($D37="","",IF([7]設定!$H51="",INDEX([7]第３表!$F$80:$Q$136,MATCH([7]設定!$D51,[7]第３表!$C$80:$C$136,0),3),[7]設定!$H51))</f>
        <v>162.6</v>
      </c>
      <c r="H37" s="55">
        <f>IF($D37="","",IF([7]設定!$H51="",INDEX([7]第３表!$F$80:$Q$136,MATCH([7]設定!$D51,[7]第３表!$C$80:$C$136,0),4),[7]設定!$H51))</f>
        <v>9.6999999999999993</v>
      </c>
      <c r="I37" s="55">
        <f>IF($D37="","",IF([7]設定!$H51="",INDEX([7]第３表!$F$80:$Q$136,MATCH([7]設定!$D51,[7]第３表!$C$80:$C$136,0),5),[7]設定!$H51))</f>
        <v>21.7</v>
      </c>
      <c r="J37" s="55">
        <f>IF($D37="","",IF([7]設定!$H51="",INDEX([7]第３表!$F$80:$Q$136,MATCH([7]設定!$D51,[7]第３表!$C$80:$C$136,0),6),[7]設定!$H51))</f>
        <v>180.1</v>
      </c>
      <c r="K37" s="55">
        <f>IF($D37="","",IF([7]設定!$H51="",INDEX([7]第３表!$F$80:$Q$136,MATCH([7]設定!$D51,[7]第３表!$C$80:$C$136,0),7),[7]設定!$H51))</f>
        <v>167.1</v>
      </c>
      <c r="L37" s="55">
        <f>IF($D37="","",IF([7]設定!$H51="",INDEX([7]第３表!$F$80:$Q$136,MATCH([7]設定!$D51,[7]第３表!$C$80:$C$136,0),8),[7]設定!$H51))</f>
        <v>13</v>
      </c>
      <c r="M37" s="55">
        <f>IF($D37="","",IF([7]設定!$H51="",INDEX([7]第３表!$F$80:$Q$136,MATCH([7]設定!$D51,[7]第３表!$C$80:$C$136,0),9),[7]設定!$H51))</f>
        <v>20.2</v>
      </c>
      <c r="N37" s="55">
        <f>IF($D37="","",IF([7]設定!$H51="",INDEX([7]第３表!$F$80:$Q$136,MATCH([7]設定!$D51,[7]第３表!$C$80:$C$136,0),10),[7]設定!$H51))</f>
        <v>156.19999999999999</v>
      </c>
      <c r="O37" s="55">
        <f>IF($D37="","",IF([7]設定!$H51="",INDEX([7]第３表!$F$80:$Q$136,MATCH([7]設定!$D51,[7]第３表!$C$80:$C$136,0),11),[7]設定!$H51))</f>
        <v>153.30000000000001</v>
      </c>
      <c r="P37" s="55">
        <f>IF($D37="","",IF([7]設定!$H51="",INDEX([7]第３表!$F$80:$Q$136,MATCH([7]設定!$D51,[7]第３表!$C$80:$C$136,0),12),[7]設定!$H51))</f>
        <v>2.9</v>
      </c>
    </row>
    <row r="38" spans="2:17" s="8" customFormat="1" ht="17.25" customHeight="1" x14ac:dyDescent="0.45">
      <c r="B38" s="49" t="str">
        <f>+[8]第５表!B38</f>
        <v>E31</v>
      </c>
      <c r="C38" s="50"/>
      <c r="D38" s="65" t="str">
        <f>+[8]第５表!D38</f>
        <v>輸送用機械器具</v>
      </c>
      <c r="E38" s="55">
        <f>IF($D38="","",IF([7]設定!$H52="",INDEX([7]第３表!$F$80:$Q$136,MATCH([7]設定!$D52,[7]第３表!$C$80:$C$136,0),1),[7]設定!$H52))</f>
        <v>18.600000000000001</v>
      </c>
      <c r="F38" s="55">
        <f>IF($D38="","",IF([7]設定!$H52="",INDEX([7]第３表!$F$80:$Q$136,MATCH([7]設定!$D52,[7]第３表!$C$80:$C$136,0),2),[7]設定!$H52))</f>
        <v>173.9</v>
      </c>
      <c r="G38" s="55">
        <f>IF($D38="","",IF([7]設定!$H52="",INDEX([7]第３表!$F$80:$Q$136,MATCH([7]設定!$D52,[7]第３表!$C$80:$C$136,0),3),[7]設定!$H52))</f>
        <v>150.5</v>
      </c>
      <c r="H38" s="55">
        <f>IF($D38="","",IF([7]設定!$H52="",INDEX([7]第３表!$F$80:$Q$136,MATCH([7]設定!$D52,[7]第３表!$C$80:$C$136,0),4),[7]設定!$H52))</f>
        <v>23.4</v>
      </c>
      <c r="I38" s="55">
        <f>IF($D38="","",IF([7]設定!$H52="",INDEX([7]第３表!$F$80:$Q$136,MATCH([7]設定!$D52,[7]第３表!$C$80:$C$136,0),5),[7]設定!$H52))</f>
        <v>18.7</v>
      </c>
      <c r="J38" s="55">
        <f>IF($D38="","",IF([7]設定!$H52="",INDEX([7]第３表!$F$80:$Q$136,MATCH([7]設定!$D52,[7]第３表!$C$80:$C$136,0),6),[7]設定!$H52))</f>
        <v>177.8</v>
      </c>
      <c r="K38" s="55">
        <f>IF($D38="","",IF([7]設定!$H52="",INDEX([7]第３表!$F$80:$Q$136,MATCH([7]設定!$D52,[7]第３表!$C$80:$C$136,0),7),[7]設定!$H52))</f>
        <v>152.4</v>
      </c>
      <c r="L38" s="55">
        <f>IF($D38="","",IF([7]設定!$H52="",INDEX([7]第３表!$F$80:$Q$136,MATCH([7]設定!$D52,[7]第３表!$C$80:$C$136,0),8),[7]設定!$H52))</f>
        <v>25.4</v>
      </c>
      <c r="M38" s="55">
        <f>IF($D38="","",IF([7]設定!$H52="",INDEX([7]第３表!$F$80:$Q$136,MATCH([7]設定!$D52,[7]第３表!$C$80:$C$136,0),9),[7]設定!$H52))</f>
        <v>18.3</v>
      </c>
      <c r="N38" s="55">
        <f>IF($D38="","",IF([7]設定!$H52="",INDEX([7]第３表!$F$80:$Q$136,MATCH([7]設定!$D52,[7]第３表!$C$80:$C$136,0),10),[7]設定!$H52))</f>
        <v>157.30000000000001</v>
      </c>
      <c r="O38" s="55">
        <f>IF($D38="","",IF([7]設定!$H52="",INDEX([7]第３表!$F$80:$Q$136,MATCH([7]設定!$D52,[7]第３表!$C$80:$C$136,0),11),[7]設定!$H52))</f>
        <v>142.4</v>
      </c>
      <c r="P38" s="55">
        <f>IF($D38="","",IF([7]設定!$H52="",INDEX([7]第３表!$F$80:$Q$136,MATCH([7]設定!$D52,[7]第３表!$C$80:$C$136,0),12),[7]設定!$H52))</f>
        <v>14.9</v>
      </c>
    </row>
    <row r="39" spans="2:17" s="8" customFormat="1" ht="17.25" customHeight="1" x14ac:dyDescent="0.45">
      <c r="B39" s="66" t="str">
        <f>+[8]第５表!B39</f>
        <v>ES</v>
      </c>
      <c r="C39" s="67"/>
      <c r="D39" s="68" t="str">
        <f>+[8]第５表!D39</f>
        <v>はん用・生産用機械器具</v>
      </c>
      <c r="E39" s="69">
        <f>IF($D39="","",IF([7]設定!$H53="",INDEX([7]第３表!$F$80:$Q$136,MATCH([7]設定!$D53,[7]第３表!$C$80:$C$136,0),1),[7]設定!$H53))</f>
        <v>20.9</v>
      </c>
      <c r="F39" s="69">
        <f>IF($D39="","",IF([7]設定!$H53="",INDEX([7]第３表!$F$80:$Q$136,MATCH([7]設定!$D53,[7]第３表!$C$80:$C$136,0),2),[7]設定!$H53))</f>
        <v>178.9</v>
      </c>
      <c r="G39" s="69">
        <f>IF($D39="","",IF([7]設定!$H53="",INDEX([7]第３表!$F$80:$Q$136,MATCH([7]設定!$D53,[7]第３表!$C$80:$C$136,0),3),[7]設定!$H53))</f>
        <v>162.30000000000001</v>
      </c>
      <c r="H39" s="69">
        <f>IF($D39="","",IF([7]設定!$H53="",INDEX([7]第３表!$F$80:$Q$136,MATCH([7]設定!$D53,[7]第３表!$C$80:$C$136,0),4),[7]設定!$H53))</f>
        <v>16.600000000000001</v>
      </c>
      <c r="I39" s="69">
        <f>IF($D39="","",IF([7]設定!$H53="",INDEX([7]第３表!$F$80:$Q$136,MATCH([7]設定!$D53,[7]第３表!$C$80:$C$136,0),5),[7]設定!$H53))</f>
        <v>21.1</v>
      </c>
      <c r="J39" s="69">
        <f>IF($D39="","",IF([7]設定!$H53="",INDEX([7]第３表!$F$80:$Q$136,MATCH([7]設定!$D53,[7]第３表!$C$80:$C$136,0),6),[7]設定!$H53))</f>
        <v>180.4</v>
      </c>
      <c r="K39" s="69">
        <f>IF($D39="","",IF([7]設定!$H53="",INDEX([7]第３表!$F$80:$Q$136,MATCH([7]設定!$D53,[7]第３表!$C$80:$C$136,0),7),[7]設定!$H53))</f>
        <v>162.4</v>
      </c>
      <c r="L39" s="69">
        <f>IF($D39="","",IF([7]設定!$H53="",INDEX([7]第３表!$F$80:$Q$136,MATCH([7]設定!$D53,[7]第３表!$C$80:$C$136,0),8),[7]設定!$H53))</f>
        <v>18</v>
      </c>
      <c r="M39" s="69">
        <f>IF($D39="","",IF([7]設定!$H53="",INDEX([7]第３表!$F$80:$Q$136,MATCH([7]設定!$D53,[7]第３表!$C$80:$C$136,0),9),[7]設定!$H53))</f>
        <v>20</v>
      </c>
      <c r="N39" s="69">
        <f>IF($D39="","",IF([7]設定!$H53="",INDEX([7]第３表!$F$80:$Q$136,MATCH([7]設定!$D53,[7]第３表!$C$80:$C$136,0),10),[7]設定!$H53))</f>
        <v>173</v>
      </c>
      <c r="O39" s="69">
        <f>IF($D39="","",IF([7]設定!$H53="",INDEX([7]第３表!$F$80:$Q$136,MATCH([7]設定!$D53,[7]第３表!$C$80:$C$136,0),11),[7]設定!$H53))</f>
        <v>161.80000000000001</v>
      </c>
      <c r="P39" s="69">
        <f>IF($D39="","",IF([7]設定!$H53="",INDEX([7]第３表!$F$80:$Q$136,MATCH([7]設定!$D53,[7]第３表!$C$80:$C$136,0),12),[7]設定!$H53))</f>
        <v>11.2</v>
      </c>
    </row>
    <row r="40" spans="2:17" s="8" customFormat="1" ht="16.2" customHeight="1" x14ac:dyDescent="0.45">
      <c r="B40" s="70" t="str">
        <f>+[8]第５表!B40</f>
        <v>R91</v>
      </c>
      <c r="C40" s="71"/>
      <c r="D40" s="72" t="str">
        <f>+[8]第５表!D40</f>
        <v>職業紹介・労働者派遣業</v>
      </c>
      <c r="E40" s="73">
        <f>IF($D40="","",IF([7]設定!$H54="",INDEX([7]第３表!$F$80:$Q$136,MATCH([7]設定!$D54,[7]第３表!$C$80:$C$136,0),1),[7]設定!$H54))</f>
        <v>18.399999999999999</v>
      </c>
      <c r="F40" s="73">
        <f>IF($D40="","",IF([7]設定!$H54="",INDEX([7]第３表!$F$80:$Q$136,MATCH([7]設定!$D54,[7]第３表!$C$80:$C$136,0),2),[7]設定!$H54))</f>
        <v>149.19999999999999</v>
      </c>
      <c r="G40" s="73">
        <f>IF($D40="","",IF([7]設定!$H54="",INDEX([7]第３表!$F$80:$Q$136,MATCH([7]設定!$D54,[7]第３表!$C$80:$C$136,0),3),[7]設定!$H54))</f>
        <v>141.69999999999999</v>
      </c>
      <c r="H40" s="73">
        <f>IF($D40="","",IF([7]設定!$H54="",INDEX([7]第３表!$F$80:$Q$136,MATCH([7]設定!$D54,[7]第３表!$C$80:$C$136,0),4),[7]設定!$H54))</f>
        <v>7.5</v>
      </c>
      <c r="I40" s="73">
        <f>IF($D40="","",IF([7]設定!$H54="",INDEX([7]第３表!$F$80:$Q$136,MATCH([7]設定!$D54,[7]第３表!$C$80:$C$136,0),5),[7]設定!$H54))</f>
        <v>18.5</v>
      </c>
      <c r="J40" s="73">
        <f>IF($D40="","",IF([7]設定!$H54="",INDEX([7]第３表!$F$80:$Q$136,MATCH([7]設定!$D54,[7]第３表!$C$80:$C$136,0),6),[7]設定!$H54))</f>
        <v>160.30000000000001</v>
      </c>
      <c r="K40" s="73">
        <f>IF($D40="","",IF([7]設定!$H54="",INDEX([7]第３表!$F$80:$Q$136,MATCH([7]設定!$D54,[7]第３表!$C$80:$C$136,0),7),[7]設定!$H54))</f>
        <v>149.30000000000001</v>
      </c>
      <c r="L40" s="73">
        <f>IF($D40="","",IF([7]設定!$H54="",INDEX([7]第３表!$F$80:$Q$136,MATCH([7]設定!$D54,[7]第３表!$C$80:$C$136,0),8),[7]設定!$H54))</f>
        <v>11</v>
      </c>
      <c r="M40" s="73">
        <f>IF($D40="","",IF([7]設定!$H54="",INDEX([7]第３表!$F$80:$Q$136,MATCH([7]設定!$D54,[7]第３表!$C$80:$C$136,0),9),[7]設定!$H54))</f>
        <v>18.3</v>
      </c>
      <c r="N40" s="73">
        <f>IF($D40="","",IF([7]設定!$H54="",INDEX([7]第３表!$F$80:$Q$136,MATCH([7]設定!$D54,[7]第３表!$C$80:$C$136,0),10),[7]設定!$H54))</f>
        <v>140</v>
      </c>
      <c r="O40" s="73">
        <f>IF($D40="","",IF([7]設定!$H54="",INDEX([7]第３表!$F$80:$Q$136,MATCH([7]設定!$D54,[7]第３表!$C$80:$C$136,0),11),[7]設定!$H54))</f>
        <v>135.5</v>
      </c>
      <c r="P40" s="73">
        <f>IF($D40="","",IF([7]設定!$H54="",INDEX([7]第３表!$F$80:$Q$136,MATCH([7]設定!$D54,[7]第３表!$C$80:$C$136,0),12),[7]設定!$H54))</f>
        <v>4.5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IF($D47="","",IF([7]設定!$I23="",INDEX([7]第３表!$F$10:$Q$66,MATCH([7]設定!$D23,[7]第３表!$C$10:$C$66,0),1),[7]設定!$I23))</f>
        <v>18.899999999999999</v>
      </c>
      <c r="F47" s="48">
        <f>IF($D47="","",IF([7]設定!$I23="",INDEX([7]第３表!$F$10:$Q$66,MATCH([7]設定!$D23,[7]第３表!$C$10:$C$66,0),2),[7]設定!$I23))</f>
        <v>149.19999999999999</v>
      </c>
      <c r="G47" s="48">
        <f>IF($D47="","",IF([7]設定!$I23="",INDEX([7]第３表!$F$10:$Q$66,MATCH([7]設定!$D23,[7]第３表!$C$10:$C$66,0),3),[7]設定!$I23))</f>
        <v>137.4</v>
      </c>
      <c r="H47" s="48">
        <f>IF($D47="","",IF([7]設定!$I23="",INDEX([7]第３表!$F$10:$Q$66,MATCH([7]設定!$D23,[7]第３表!$C$10:$C$66,0),4),[7]設定!$I23))</f>
        <v>11.8</v>
      </c>
      <c r="I47" s="48">
        <f>IF($D47="","",IF([7]設定!$I23="",INDEX([7]第３表!$F$10:$Q$66,MATCH([7]設定!$D23,[7]第３表!$C$10:$C$66,0),5),[7]設定!$I23))</f>
        <v>19.7</v>
      </c>
      <c r="J47" s="48">
        <f>IF($D47="","",IF([7]設定!$I23="",INDEX([7]第３表!$F$10:$Q$66,MATCH([7]設定!$D23,[7]第３表!$C$10:$C$66,0),6),[7]設定!$I23))</f>
        <v>163.69999999999999</v>
      </c>
      <c r="K47" s="48">
        <f>IF($D47="","",IF([7]設定!$I23="",INDEX([7]第３表!$F$10:$Q$66,MATCH([7]設定!$D23,[7]第３表!$C$10:$C$66,0),7),[7]設定!$I23))</f>
        <v>147.1</v>
      </c>
      <c r="L47" s="48">
        <f>IF($D47="","",IF([7]設定!$I23="",INDEX([7]第３表!$F$10:$Q$66,MATCH([7]設定!$D23,[7]第３表!$C$10:$C$66,0),8),[7]設定!$I23))</f>
        <v>16.600000000000001</v>
      </c>
      <c r="M47" s="48">
        <f>IF($D47="","",IF([7]設定!$I23="",INDEX([7]第３表!$F$10:$Q$66,MATCH([7]設定!$D23,[7]第３表!$C$10:$C$66,0),9),[7]設定!$I23))</f>
        <v>18.2</v>
      </c>
      <c r="N47" s="48">
        <f>IF($D47="","",IF([7]設定!$I23="",INDEX([7]第３表!$F$10:$Q$66,MATCH([7]設定!$D23,[7]第３表!$C$10:$C$66,0),10),[7]設定!$I23))</f>
        <v>135</v>
      </c>
      <c r="O47" s="48">
        <f>IF($D47="","",IF([7]設定!$I23="",INDEX([7]第３表!$F$10:$Q$66,MATCH([7]設定!$D23,[7]第３表!$C$10:$C$66,0),11),[7]設定!$I23))</f>
        <v>127.9</v>
      </c>
      <c r="P47" s="48">
        <f>IF($D47="","",IF([7]設定!$I23="",INDEX([7]第３表!$F$10:$Q$66,MATCH([7]設定!$D23,[7]第３表!$C$10:$C$66,0),12),[7]設定!$I23))</f>
        <v>7.1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IF($D48="","",IF([7]設定!$I24="",INDEX([7]第３表!$F$10:$Q$66,MATCH([7]設定!$D24,[7]第３表!$C$10:$C$66,0),1),[7]設定!$I24))</f>
        <v>21.1</v>
      </c>
      <c r="F48" s="52">
        <f>IF($D48="","",IF([7]設定!$I24="",INDEX([7]第３表!$F$10:$Q$66,MATCH([7]設定!$D24,[7]第３表!$C$10:$C$66,0),2),[7]設定!$I24))</f>
        <v>168</v>
      </c>
      <c r="G48" s="52">
        <f>IF($D48="","",IF([7]設定!$I24="",INDEX([7]第３表!$F$10:$Q$66,MATCH([7]設定!$D24,[7]第３表!$C$10:$C$66,0),3),[7]設定!$I24))</f>
        <v>157.1</v>
      </c>
      <c r="H48" s="53">
        <f>IF($D48="","",IF([7]設定!$I24="",INDEX([7]第３表!$F$10:$Q$66,MATCH([7]設定!$D24,[7]第３表!$C$10:$C$66,0),4),[7]設定!$I24))</f>
        <v>10.9</v>
      </c>
      <c r="I48" s="54">
        <f>IF($D48="","",IF([7]設定!$I24="",INDEX([7]第３表!$F$10:$Q$66,MATCH([7]設定!$D24,[7]第３表!$C$10:$C$66,0),5),[7]設定!$I24))</f>
        <v>21.6</v>
      </c>
      <c r="J48" s="54">
        <f>IF($D48="","",IF([7]設定!$I24="",INDEX([7]第３表!$F$10:$Q$66,MATCH([7]設定!$D24,[7]第３表!$C$10:$C$66,0),6),[7]設定!$I24))</f>
        <v>172.7</v>
      </c>
      <c r="K48" s="54">
        <f>IF($D48="","",IF([7]設定!$I24="",INDEX([7]第３表!$F$10:$Q$66,MATCH([7]設定!$D24,[7]第３表!$C$10:$C$66,0),7),[7]設定!$I24))</f>
        <v>160.4</v>
      </c>
      <c r="L48" s="55">
        <f>IF($D48="","",IF([7]設定!$I24="",INDEX([7]第３表!$F$10:$Q$66,MATCH([7]設定!$D24,[7]第３表!$C$10:$C$66,0),8),[7]設定!$I24))</f>
        <v>12.3</v>
      </c>
      <c r="M48" s="56">
        <f>IF($D48="","",IF([7]設定!$I24="",INDEX([7]第３表!$F$10:$Q$66,MATCH([7]設定!$D24,[7]第３表!$C$10:$C$66,0),9),[7]設定!$I24))</f>
        <v>19.399999999999999</v>
      </c>
      <c r="N48" s="56">
        <f>IF($D48="","",IF([7]設定!$I24="",INDEX([7]第３表!$F$10:$Q$66,MATCH([7]設定!$D24,[7]第３表!$C$10:$C$66,0),10),[7]設定!$I24))</f>
        <v>148.30000000000001</v>
      </c>
      <c r="O48" s="56">
        <f>IF($D48="","",IF([7]設定!$I24="",INDEX([7]第３表!$F$10:$Q$66,MATCH([7]設定!$D24,[7]第３表!$C$10:$C$66,0),11),[7]設定!$I24))</f>
        <v>143.19999999999999</v>
      </c>
      <c r="P48" s="57">
        <f>IF($D48="","",IF([7]設定!$I24="",INDEX([7]第３表!$F$10:$Q$66,MATCH([7]設定!$D24,[7]第３表!$C$10:$C$66,0),12),[7]設定!$I24))</f>
        <v>5.0999999999999996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IF($D49="","",IF([7]設定!$I25="",INDEX([7]第３表!$F$10:$Q$66,MATCH([7]設定!$D25,[7]第３表!$C$10:$C$66,0),1),[7]設定!$I25))</f>
        <v>20</v>
      </c>
      <c r="F49" s="52">
        <f>IF($D49="","",IF([7]設定!$I25="",INDEX([7]第３表!$F$10:$Q$66,MATCH([7]設定!$D25,[7]第３表!$C$10:$C$66,0),2),[7]設定!$I25))</f>
        <v>165.5</v>
      </c>
      <c r="G49" s="52">
        <f>IF($D49="","",IF([7]設定!$I25="",INDEX([7]第３表!$F$10:$Q$66,MATCH([7]設定!$D25,[7]第３表!$C$10:$C$66,0),3),[7]設定!$I25))</f>
        <v>151.30000000000001</v>
      </c>
      <c r="H49" s="53">
        <f>IF($D49="","",IF([7]設定!$I25="",INDEX([7]第３表!$F$10:$Q$66,MATCH([7]設定!$D25,[7]第３表!$C$10:$C$66,0),4),[7]設定!$I25))</f>
        <v>14.2</v>
      </c>
      <c r="I49" s="54">
        <f>IF($D49="","",IF([7]設定!$I25="",INDEX([7]第３表!$F$10:$Q$66,MATCH([7]設定!$D25,[7]第３表!$C$10:$C$66,0),5),[7]設定!$I25))</f>
        <v>20.2</v>
      </c>
      <c r="J49" s="54">
        <f>IF($D49="","",IF([7]設定!$I25="",INDEX([7]第３表!$F$10:$Q$66,MATCH([7]設定!$D25,[7]第３表!$C$10:$C$66,0),6),[7]設定!$I25))</f>
        <v>172.3</v>
      </c>
      <c r="K49" s="54">
        <f>IF($D49="","",IF([7]設定!$I25="",INDEX([7]第３表!$F$10:$Q$66,MATCH([7]設定!$D25,[7]第３表!$C$10:$C$66,0),7),[7]設定!$I25))</f>
        <v>154.80000000000001</v>
      </c>
      <c r="L49" s="55">
        <f>IF($D49="","",IF([7]設定!$I25="",INDEX([7]第３表!$F$10:$Q$66,MATCH([7]設定!$D25,[7]第３表!$C$10:$C$66,0),8),[7]設定!$I25))</f>
        <v>17.5</v>
      </c>
      <c r="M49" s="56">
        <f>IF($D49="","",IF([7]設定!$I25="",INDEX([7]第３表!$F$10:$Q$66,MATCH([7]設定!$D25,[7]第３表!$C$10:$C$66,0),9),[7]設定!$I25))</f>
        <v>19.5</v>
      </c>
      <c r="N49" s="56">
        <f>IF($D49="","",IF([7]設定!$I25="",INDEX([7]第３表!$F$10:$Q$66,MATCH([7]設定!$D25,[7]第３表!$C$10:$C$66,0),10),[7]設定!$I25))</f>
        <v>153.19999999999999</v>
      </c>
      <c r="O49" s="56">
        <f>IF($D49="","",IF([7]設定!$I25="",INDEX([7]第３表!$F$10:$Q$66,MATCH([7]設定!$D25,[7]第３表!$C$10:$C$66,0),11),[7]設定!$I25))</f>
        <v>145</v>
      </c>
      <c r="P49" s="57">
        <f>IF($D49="","",IF([7]設定!$I25="",INDEX([7]第３表!$F$10:$Q$66,MATCH([7]設定!$D25,[7]第３表!$C$10:$C$66,0),12),[7]設定!$I25))</f>
        <v>8.1999999999999993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IF($D50="","",IF([7]設定!$I26="",INDEX([7]第３表!$F$10:$Q$66,MATCH([7]設定!$D26,[7]第３表!$C$10:$C$66,0),1),[7]設定!$I26))</f>
        <v>19.7</v>
      </c>
      <c r="F50" s="52">
        <f>IF($D50="","",IF([7]設定!$I26="",INDEX([7]第３表!$F$10:$Q$66,MATCH([7]設定!$D26,[7]第３表!$C$10:$C$66,0),2),[7]設定!$I26))</f>
        <v>163.30000000000001</v>
      </c>
      <c r="G50" s="52">
        <f>IF($D50="","",IF([7]設定!$I26="",INDEX([7]第３表!$F$10:$Q$66,MATCH([7]設定!$D26,[7]第３表!$C$10:$C$66,0),3),[7]設定!$I26))</f>
        <v>143.80000000000001</v>
      </c>
      <c r="H50" s="53">
        <f>IF($D50="","",IF([7]設定!$I26="",INDEX([7]第３表!$F$10:$Q$66,MATCH([7]設定!$D26,[7]第３表!$C$10:$C$66,0),4),[7]設定!$I26))</f>
        <v>19.5</v>
      </c>
      <c r="I50" s="54">
        <f>IF($D50="","",IF([7]設定!$I26="",INDEX([7]第３表!$F$10:$Q$66,MATCH([7]設定!$D26,[7]第３表!$C$10:$C$66,0),5),[7]設定!$I26))</f>
        <v>19.8</v>
      </c>
      <c r="J50" s="54">
        <f>IF($D50="","",IF([7]設定!$I26="",INDEX([7]第３表!$F$10:$Q$66,MATCH([7]設定!$D26,[7]第３表!$C$10:$C$66,0),6),[7]設定!$I26))</f>
        <v>166.5</v>
      </c>
      <c r="K50" s="54">
        <f>IF($D50="","",IF([7]設定!$I26="",INDEX([7]第３表!$F$10:$Q$66,MATCH([7]設定!$D26,[7]第３表!$C$10:$C$66,0),7),[7]設定!$I26))</f>
        <v>145.69999999999999</v>
      </c>
      <c r="L50" s="55">
        <f>IF($D50="","",IF([7]設定!$I26="",INDEX([7]第３表!$F$10:$Q$66,MATCH([7]設定!$D26,[7]第３表!$C$10:$C$66,0),8),[7]設定!$I26))</f>
        <v>20.8</v>
      </c>
      <c r="M50" s="56">
        <f>IF($D50="","",IF([7]設定!$I26="",INDEX([7]第３表!$F$10:$Q$66,MATCH([7]設定!$D26,[7]第３表!$C$10:$C$66,0),9),[7]設定!$I26))</f>
        <v>19.399999999999999</v>
      </c>
      <c r="N50" s="56">
        <f>IF($D50="","",IF([7]設定!$I26="",INDEX([7]第３表!$F$10:$Q$66,MATCH([7]設定!$D26,[7]第３表!$C$10:$C$66,0),10),[7]設定!$I26))</f>
        <v>143.30000000000001</v>
      </c>
      <c r="O50" s="56">
        <f>IF($D50="","",IF([7]設定!$I26="",INDEX([7]第３表!$F$10:$Q$66,MATCH([7]設定!$D26,[7]第３表!$C$10:$C$66,0),11),[7]設定!$I26))</f>
        <v>132</v>
      </c>
      <c r="P50" s="57">
        <f>IF($D50="","",IF([7]設定!$I26="",INDEX([7]第３表!$F$10:$Q$66,MATCH([7]設定!$D26,[7]第３表!$C$10:$C$66,0),12),[7]設定!$I26))</f>
        <v>11.3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IF($D51="","",IF([7]設定!$I27="",INDEX([7]第３表!$F$10:$Q$66,MATCH([7]設定!$D27,[7]第３表!$C$10:$C$66,0),1),[7]設定!$I27))</f>
        <v>19.5</v>
      </c>
      <c r="F51" s="52">
        <f>IF($D51="","",IF([7]設定!$I27="",INDEX([7]第３表!$F$10:$Q$66,MATCH([7]設定!$D27,[7]第３表!$C$10:$C$66,0),2),[7]設定!$I27))</f>
        <v>160.4</v>
      </c>
      <c r="G51" s="52">
        <f>IF($D51="","",IF([7]設定!$I27="",INDEX([7]第３表!$F$10:$Q$66,MATCH([7]設定!$D27,[7]第３表!$C$10:$C$66,0),3),[7]設定!$I27))</f>
        <v>146.9</v>
      </c>
      <c r="H51" s="53">
        <f>IF($D51="","",IF([7]設定!$I27="",INDEX([7]第３表!$F$10:$Q$66,MATCH([7]設定!$D27,[7]第３表!$C$10:$C$66,0),4),[7]設定!$I27))</f>
        <v>13.5</v>
      </c>
      <c r="I51" s="54">
        <f>IF($D51="","",IF([7]設定!$I27="",INDEX([7]第３表!$F$10:$Q$66,MATCH([7]設定!$D27,[7]第３表!$C$10:$C$66,0),5),[7]設定!$I27))</f>
        <v>19.5</v>
      </c>
      <c r="J51" s="54">
        <f>IF($D51="","",IF([7]設定!$I27="",INDEX([7]第３表!$F$10:$Q$66,MATCH([7]設定!$D27,[7]第３表!$C$10:$C$66,0),6),[7]設定!$I27))</f>
        <v>162.30000000000001</v>
      </c>
      <c r="K51" s="54">
        <f>IF($D51="","",IF([7]設定!$I27="",INDEX([7]第３表!$F$10:$Q$66,MATCH([7]設定!$D27,[7]第３表!$C$10:$C$66,0),7),[7]設定!$I27))</f>
        <v>148.30000000000001</v>
      </c>
      <c r="L51" s="55">
        <f>IF($D51="","",IF([7]設定!$I27="",INDEX([7]第３表!$F$10:$Q$66,MATCH([7]設定!$D27,[7]第３表!$C$10:$C$66,0),8),[7]設定!$I27))</f>
        <v>14</v>
      </c>
      <c r="M51" s="56">
        <f>IF($D51="","",IF([7]設定!$I27="",INDEX([7]第３表!$F$10:$Q$66,MATCH([7]設定!$D27,[7]第３表!$C$10:$C$66,0),9),[7]設定!$I27))</f>
        <v>19.3</v>
      </c>
      <c r="N51" s="56">
        <f>IF($D51="","",IF([7]設定!$I27="",INDEX([7]第３表!$F$10:$Q$66,MATCH([7]設定!$D27,[7]第３表!$C$10:$C$66,0),10),[7]設定!$I27))</f>
        <v>156</v>
      </c>
      <c r="O51" s="56">
        <f>IF($D51="","",IF([7]設定!$I27="",INDEX([7]第３表!$F$10:$Q$66,MATCH([7]設定!$D27,[7]第３表!$C$10:$C$66,0),11),[7]設定!$I27))</f>
        <v>143.5</v>
      </c>
      <c r="P51" s="57">
        <f>IF($D51="","",IF([7]設定!$I27="",INDEX([7]第３表!$F$10:$Q$66,MATCH([7]設定!$D27,[7]第３表!$C$10:$C$66,0),12),[7]設定!$I27))</f>
        <v>12.5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IF($D52="","",IF([7]設定!$I28="",INDEX([7]第３表!$F$10:$Q$66,MATCH([7]設定!$D28,[7]第３表!$C$10:$C$66,0),1),[7]設定!$I28))</f>
        <v>19.7</v>
      </c>
      <c r="F52" s="52">
        <f>IF($D52="","",IF([7]設定!$I28="",INDEX([7]第３表!$F$10:$Q$66,MATCH([7]設定!$D28,[7]第３表!$C$10:$C$66,0),2),[7]設定!$I28))</f>
        <v>167.1</v>
      </c>
      <c r="G52" s="52">
        <f>IF($D52="","",IF([7]設定!$I28="",INDEX([7]第３表!$F$10:$Q$66,MATCH([7]設定!$D28,[7]第３表!$C$10:$C$66,0),3),[7]設定!$I28))</f>
        <v>143.6</v>
      </c>
      <c r="H52" s="53">
        <f>IF($D52="","",IF([7]設定!$I28="",INDEX([7]第３表!$F$10:$Q$66,MATCH([7]設定!$D28,[7]第３表!$C$10:$C$66,0),4),[7]設定!$I28))</f>
        <v>23.5</v>
      </c>
      <c r="I52" s="54">
        <f>IF($D52="","",IF([7]設定!$I28="",INDEX([7]第３表!$F$10:$Q$66,MATCH([7]設定!$D28,[7]第３表!$C$10:$C$66,0),5),[7]設定!$I28))</f>
        <v>20</v>
      </c>
      <c r="J52" s="54">
        <f>IF($D52="","",IF([7]設定!$I28="",INDEX([7]第３表!$F$10:$Q$66,MATCH([7]設定!$D28,[7]第３表!$C$10:$C$66,0),6),[7]設定!$I28))</f>
        <v>171.7</v>
      </c>
      <c r="K52" s="54">
        <f>IF($D52="","",IF([7]設定!$I28="",INDEX([7]第３表!$F$10:$Q$66,MATCH([7]設定!$D28,[7]第３表!$C$10:$C$66,0),7),[7]設定!$I28))</f>
        <v>145.5</v>
      </c>
      <c r="L52" s="55">
        <f>IF($D52="","",IF([7]設定!$I28="",INDEX([7]第３表!$F$10:$Q$66,MATCH([7]設定!$D28,[7]第３表!$C$10:$C$66,0),8),[7]設定!$I28))</f>
        <v>26.2</v>
      </c>
      <c r="M52" s="56">
        <f>IF($D52="","",IF([7]設定!$I28="",INDEX([7]第３表!$F$10:$Q$66,MATCH([7]設定!$D28,[7]第３表!$C$10:$C$66,0),9),[7]設定!$I28))</f>
        <v>18.3</v>
      </c>
      <c r="N52" s="56">
        <f>IF($D52="","",IF([7]設定!$I28="",INDEX([7]第３表!$F$10:$Q$66,MATCH([7]設定!$D28,[7]第３表!$C$10:$C$66,0),10),[7]設定!$I28))</f>
        <v>143</v>
      </c>
      <c r="O52" s="56">
        <f>IF($D52="","",IF([7]設定!$I28="",INDEX([7]第３表!$F$10:$Q$66,MATCH([7]設定!$D28,[7]第３表!$C$10:$C$66,0),11),[7]設定!$I28))</f>
        <v>133.80000000000001</v>
      </c>
      <c r="P52" s="57">
        <f>IF($D52="","",IF([7]設定!$I28="",INDEX([7]第３表!$F$10:$Q$66,MATCH([7]設定!$D28,[7]第３表!$C$10:$C$66,0),12),[7]設定!$I28))</f>
        <v>9.1999999999999993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IF($D53="","",IF([7]設定!$I29="",INDEX([7]第３表!$F$10:$Q$66,MATCH([7]設定!$D29,[7]第３表!$C$10:$C$66,0),1),[7]設定!$I29))</f>
        <v>18.7</v>
      </c>
      <c r="F53" s="52">
        <f>IF($D53="","",IF([7]設定!$I29="",INDEX([7]第３表!$F$10:$Q$66,MATCH([7]設定!$D29,[7]第３表!$C$10:$C$66,0),2),[7]設定!$I29))</f>
        <v>132.5</v>
      </c>
      <c r="G53" s="52">
        <f>IF($D53="","",IF([7]設定!$I29="",INDEX([7]第３表!$F$10:$Q$66,MATCH([7]設定!$D29,[7]第３表!$C$10:$C$66,0),3),[7]設定!$I29))</f>
        <v>124</v>
      </c>
      <c r="H53" s="53">
        <f>IF($D53="","",IF([7]設定!$I29="",INDEX([7]第３表!$F$10:$Q$66,MATCH([7]設定!$D29,[7]第３表!$C$10:$C$66,0),4),[7]設定!$I29))</f>
        <v>8.5</v>
      </c>
      <c r="I53" s="54">
        <f>IF($D53="","",IF([7]設定!$I29="",INDEX([7]第３表!$F$10:$Q$66,MATCH([7]設定!$D29,[7]第３表!$C$10:$C$66,0),5),[7]設定!$I29))</f>
        <v>19.899999999999999</v>
      </c>
      <c r="J53" s="54">
        <f>IF($D53="","",IF([7]設定!$I29="",INDEX([7]第３表!$F$10:$Q$66,MATCH([7]設定!$D29,[7]第３表!$C$10:$C$66,0),6),[7]設定!$I29))</f>
        <v>157</v>
      </c>
      <c r="K53" s="54">
        <f>IF($D53="","",IF([7]設定!$I29="",INDEX([7]第３表!$F$10:$Q$66,MATCH([7]設定!$D29,[7]第３表!$C$10:$C$66,0),7),[7]設定!$I29))</f>
        <v>142.5</v>
      </c>
      <c r="L53" s="55">
        <f>IF($D53="","",IF([7]設定!$I29="",INDEX([7]第３表!$F$10:$Q$66,MATCH([7]設定!$D29,[7]第３表!$C$10:$C$66,0),8),[7]設定!$I29))</f>
        <v>14.5</v>
      </c>
      <c r="M53" s="56">
        <f>IF($D53="","",IF([7]設定!$I29="",INDEX([7]第３表!$F$10:$Q$66,MATCH([7]設定!$D29,[7]第３表!$C$10:$C$66,0),9),[7]設定!$I29))</f>
        <v>17.899999999999999</v>
      </c>
      <c r="N53" s="56">
        <f>IF($D53="","",IF([7]設定!$I29="",INDEX([7]第３表!$F$10:$Q$66,MATCH([7]設定!$D29,[7]第３表!$C$10:$C$66,0),10),[7]設定!$I29))</f>
        <v>116.1</v>
      </c>
      <c r="O53" s="56">
        <f>IF($D53="","",IF([7]設定!$I29="",INDEX([7]第３表!$F$10:$Q$66,MATCH([7]設定!$D29,[7]第３表!$C$10:$C$66,0),11),[7]設定!$I29))</f>
        <v>111.6</v>
      </c>
      <c r="P53" s="57">
        <f>IF($D53="","",IF([7]設定!$I29="",INDEX([7]第３表!$F$10:$Q$66,MATCH([7]設定!$D29,[7]第３表!$C$10:$C$66,0),12),[7]設定!$I29))</f>
        <v>4.5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 t="str">
        <f>IF($D54="","",IF([7]設定!$I30="",INDEX([7]第３表!$F$10:$Q$66,MATCH([7]設定!$D30,[7]第３表!$C$10:$C$66,0),1),[7]設定!$I30))</f>
        <v>x</v>
      </c>
      <c r="F54" s="52" t="str">
        <f>IF($D54="","",IF([7]設定!$I30="",INDEX([7]第３表!$F$10:$Q$66,MATCH([7]設定!$D30,[7]第３表!$C$10:$C$66,0),2),[7]設定!$I30))</f>
        <v>x</v>
      </c>
      <c r="G54" s="52" t="str">
        <f>IF($D54="","",IF([7]設定!$I30="",INDEX([7]第３表!$F$10:$Q$66,MATCH([7]設定!$D30,[7]第３表!$C$10:$C$66,0),3),[7]設定!$I30))</f>
        <v>x</v>
      </c>
      <c r="H54" s="53" t="str">
        <f>IF($D54="","",IF([7]設定!$I30="",INDEX([7]第３表!$F$10:$Q$66,MATCH([7]設定!$D30,[7]第３表!$C$10:$C$66,0),4),[7]設定!$I30))</f>
        <v>x</v>
      </c>
      <c r="I54" s="54" t="str">
        <f>IF($D54="","",IF([7]設定!$I30="",INDEX([7]第３表!$F$10:$Q$66,MATCH([7]設定!$D30,[7]第３表!$C$10:$C$66,0),5),[7]設定!$I30))</f>
        <v>x</v>
      </c>
      <c r="J54" s="54" t="str">
        <f>IF($D54="","",IF([7]設定!$I30="",INDEX([7]第３表!$F$10:$Q$66,MATCH([7]設定!$D30,[7]第３表!$C$10:$C$66,0),6),[7]設定!$I30))</f>
        <v>x</v>
      </c>
      <c r="K54" s="54" t="str">
        <f>IF($D54="","",IF([7]設定!$I30="",INDEX([7]第３表!$F$10:$Q$66,MATCH([7]設定!$D30,[7]第３表!$C$10:$C$66,0),7),[7]設定!$I30))</f>
        <v>x</v>
      </c>
      <c r="L54" s="55" t="str">
        <f>IF($D54="","",IF([7]設定!$I30="",INDEX([7]第３表!$F$10:$Q$66,MATCH([7]設定!$D30,[7]第３表!$C$10:$C$66,0),8),[7]設定!$I30))</f>
        <v>x</v>
      </c>
      <c r="M54" s="56" t="str">
        <f>IF($D54="","",IF([7]設定!$I30="",INDEX([7]第３表!$F$10:$Q$66,MATCH([7]設定!$D30,[7]第３表!$C$10:$C$66,0),9),[7]設定!$I30))</f>
        <v>x</v>
      </c>
      <c r="N54" s="56" t="str">
        <f>IF($D54="","",IF([7]設定!$I30="",INDEX([7]第３表!$F$10:$Q$66,MATCH([7]設定!$D30,[7]第３表!$C$10:$C$66,0),10),[7]設定!$I30))</f>
        <v>x</v>
      </c>
      <c r="O54" s="56" t="str">
        <f>IF($D54="","",IF([7]設定!$I30="",INDEX([7]第３表!$F$10:$Q$66,MATCH([7]設定!$D30,[7]第３表!$C$10:$C$66,0),11),[7]設定!$I30))</f>
        <v>x</v>
      </c>
      <c r="P54" s="57" t="str">
        <f>IF($D54="","",IF([7]設定!$I30="",INDEX([7]第３表!$F$10:$Q$66,MATCH([7]設定!$D30,[7]第３表!$C$10:$C$66,0),12),[7]設定!$I30))</f>
        <v>x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IF($D55="","",IF([7]設定!$I31="",INDEX([7]第３表!$F$10:$Q$66,MATCH([7]設定!$D31,[7]第３表!$C$10:$C$66,0),1),[7]設定!$I31))</f>
        <v>21</v>
      </c>
      <c r="F55" s="52">
        <f>IF($D55="","",IF([7]設定!$I31="",INDEX([7]第３表!$F$10:$Q$66,MATCH([7]設定!$D31,[7]第３表!$C$10:$C$66,0),2),[7]設定!$I31))</f>
        <v>160.69999999999999</v>
      </c>
      <c r="G55" s="52">
        <f>IF($D55="","",IF([7]設定!$I31="",INDEX([7]第３表!$F$10:$Q$66,MATCH([7]設定!$D31,[7]第３表!$C$10:$C$66,0),3),[7]設定!$I31))</f>
        <v>154.4</v>
      </c>
      <c r="H55" s="52">
        <f>IF($D55="","",IF([7]設定!$I31="",INDEX([7]第３表!$F$10:$Q$66,MATCH([7]設定!$D31,[7]第３表!$C$10:$C$66,0),4),[7]設定!$I31))</f>
        <v>6.3</v>
      </c>
      <c r="I55" s="54">
        <f>IF($D55="","",IF([7]設定!$I31="",INDEX([7]第３表!$F$10:$Q$66,MATCH([7]設定!$D31,[7]第３表!$C$10:$C$66,0),5),[7]設定!$I31))</f>
        <v>21.6</v>
      </c>
      <c r="J55" s="54">
        <f>IF($D55="","",IF([7]設定!$I31="",INDEX([7]第３表!$F$10:$Q$66,MATCH([7]設定!$D31,[7]第３表!$C$10:$C$66,0),6),[7]設定!$I31))</f>
        <v>171.1</v>
      </c>
      <c r="K55" s="54">
        <f>IF($D55="","",IF([7]設定!$I31="",INDEX([7]第３表!$F$10:$Q$66,MATCH([7]設定!$D31,[7]第３表!$C$10:$C$66,0),7),[7]設定!$I31))</f>
        <v>164</v>
      </c>
      <c r="L55" s="55">
        <f>IF($D55="","",IF([7]設定!$I31="",INDEX([7]第３表!$F$10:$Q$66,MATCH([7]設定!$D31,[7]第３表!$C$10:$C$66,0),8),[7]設定!$I31))</f>
        <v>7.1</v>
      </c>
      <c r="M55" s="56">
        <f>IF($D55="","",IF([7]設定!$I31="",INDEX([7]第３表!$F$10:$Q$66,MATCH([7]設定!$D31,[7]第３表!$C$10:$C$66,0),9),[7]設定!$I31))</f>
        <v>20.100000000000001</v>
      </c>
      <c r="N55" s="56">
        <f>IF($D55="","",IF([7]設定!$I31="",INDEX([7]第３表!$F$10:$Q$66,MATCH([7]設定!$D31,[7]第３表!$C$10:$C$66,0),10),[7]設定!$I31))</f>
        <v>142.4</v>
      </c>
      <c r="O55" s="56">
        <f>IF($D55="","",IF([7]設定!$I31="",INDEX([7]第３表!$F$10:$Q$66,MATCH([7]設定!$D31,[7]第３表!$C$10:$C$66,0),11),[7]設定!$I31))</f>
        <v>137.4</v>
      </c>
      <c r="P55" s="57">
        <f>IF($D55="","",IF([7]設定!$I31="",INDEX([7]第３表!$F$10:$Q$66,MATCH([7]設定!$D31,[7]第３表!$C$10:$C$66,0),12),[7]設定!$I31))</f>
        <v>5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IF($D56="","",IF([7]設定!$I32="",INDEX([7]第３表!$F$10:$Q$66,MATCH([7]設定!$D32,[7]第３表!$C$10:$C$66,0),1),[7]設定!$I32))</f>
        <v>19.600000000000001</v>
      </c>
      <c r="F56" s="52">
        <f>IF($D56="","",IF([7]設定!$I32="",INDEX([7]第３表!$F$10:$Q$66,MATCH([7]設定!$D32,[7]第３表!$C$10:$C$66,0),2),[7]設定!$I32))</f>
        <v>165.8</v>
      </c>
      <c r="G56" s="52">
        <f>IF($D56="","",IF([7]設定!$I32="",INDEX([7]第３表!$F$10:$Q$66,MATCH([7]設定!$D32,[7]第３表!$C$10:$C$66,0),3),[7]設定!$I32))</f>
        <v>150.4</v>
      </c>
      <c r="H56" s="53">
        <f>IF($D56="","",IF([7]設定!$I32="",INDEX([7]第３表!$F$10:$Q$66,MATCH([7]設定!$D32,[7]第３表!$C$10:$C$66,0),4),[7]設定!$I32))</f>
        <v>15.4</v>
      </c>
      <c r="I56" s="54">
        <f>IF($D56="","",IF([7]設定!$I32="",INDEX([7]第３表!$F$10:$Q$66,MATCH([7]設定!$D32,[7]第３表!$C$10:$C$66,0),5),[7]設定!$I32))</f>
        <v>19.5</v>
      </c>
      <c r="J56" s="54">
        <f>IF($D56="","",IF([7]設定!$I32="",INDEX([7]第３表!$F$10:$Q$66,MATCH([7]設定!$D32,[7]第３表!$C$10:$C$66,0),6),[7]設定!$I32))</f>
        <v>167.3</v>
      </c>
      <c r="K56" s="54">
        <f>IF($D56="","",IF([7]設定!$I32="",INDEX([7]第３表!$F$10:$Q$66,MATCH([7]設定!$D32,[7]第３表!$C$10:$C$66,0),7),[7]設定!$I32))</f>
        <v>150.9</v>
      </c>
      <c r="L56" s="55">
        <f>IF($D56="","",IF([7]設定!$I32="",INDEX([7]第３表!$F$10:$Q$66,MATCH([7]設定!$D32,[7]第３表!$C$10:$C$66,0),8),[7]設定!$I32))</f>
        <v>16.399999999999999</v>
      </c>
      <c r="M56" s="56">
        <f>IF($D56="","",IF([7]設定!$I32="",INDEX([7]第３表!$F$10:$Q$66,MATCH([7]設定!$D32,[7]第３表!$C$10:$C$66,0),9),[7]設定!$I32))</f>
        <v>19.8</v>
      </c>
      <c r="N56" s="56">
        <f>IF($D56="","",IF([7]設定!$I32="",INDEX([7]第３表!$F$10:$Q$66,MATCH([7]設定!$D32,[7]第３表!$C$10:$C$66,0),10),[7]設定!$I32))</f>
        <v>159.9</v>
      </c>
      <c r="O56" s="56">
        <f>IF($D56="","",IF([7]設定!$I32="",INDEX([7]第３表!$F$10:$Q$66,MATCH([7]設定!$D32,[7]第３表!$C$10:$C$66,0),11),[7]設定!$I32))</f>
        <v>148.19999999999999</v>
      </c>
      <c r="P56" s="57">
        <f>IF($D56="","",IF([7]設定!$I32="",INDEX([7]第３表!$F$10:$Q$66,MATCH([7]設定!$D32,[7]第３表!$C$10:$C$66,0),12),[7]設定!$I32))</f>
        <v>11.7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IF($D57="","",IF([7]設定!$I33="",INDEX([7]第３表!$F$10:$Q$66,MATCH([7]設定!$D33,[7]第３表!$C$10:$C$66,0),1),[7]設定!$I33))</f>
        <v>15.1</v>
      </c>
      <c r="F57" s="52">
        <f>IF($D57="","",IF([7]設定!$I33="",INDEX([7]第３表!$F$10:$Q$66,MATCH([7]設定!$D33,[7]第３表!$C$10:$C$66,0),2),[7]設定!$I33))</f>
        <v>97.7</v>
      </c>
      <c r="G57" s="52">
        <f>IF($D57="","",IF([7]設定!$I33="",INDEX([7]第３表!$F$10:$Q$66,MATCH([7]設定!$D33,[7]第３表!$C$10:$C$66,0),3),[7]設定!$I33))</f>
        <v>92.5</v>
      </c>
      <c r="H57" s="53">
        <f>IF($D57="","",IF([7]設定!$I33="",INDEX([7]第３表!$F$10:$Q$66,MATCH([7]設定!$D33,[7]第３表!$C$10:$C$66,0),4),[7]設定!$I33))</f>
        <v>5.2</v>
      </c>
      <c r="I57" s="54">
        <f>IF($D57="","",IF([7]設定!$I33="",INDEX([7]第３表!$F$10:$Q$66,MATCH([7]設定!$D33,[7]第３表!$C$10:$C$66,0),5),[7]設定!$I33))</f>
        <v>16</v>
      </c>
      <c r="J57" s="54">
        <f>IF($D57="","",IF([7]設定!$I33="",INDEX([7]第３表!$F$10:$Q$66,MATCH([7]設定!$D33,[7]第３表!$C$10:$C$66,0),6),[7]設定!$I33))</f>
        <v>111.1</v>
      </c>
      <c r="K57" s="54">
        <f>IF($D57="","",IF([7]設定!$I33="",INDEX([7]第３表!$F$10:$Q$66,MATCH([7]設定!$D33,[7]第３表!$C$10:$C$66,0),7),[7]設定!$I33))</f>
        <v>102.2</v>
      </c>
      <c r="L57" s="55">
        <f>IF($D57="","",IF([7]設定!$I33="",INDEX([7]第３表!$F$10:$Q$66,MATCH([7]設定!$D33,[7]第３表!$C$10:$C$66,0),8),[7]設定!$I33))</f>
        <v>8.9</v>
      </c>
      <c r="M57" s="56">
        <f>IF($D57="","",IF([7]設定!$I33="",INDEX([7]第３表!$F$10:$Q$66,MATCH([7]設定!$D33,[7]第３表!$C$10:$C$66,0),9),[7]設定!$I33))</f>
        <v>14.7</v>
      </c>
      <c r="N57" s="56">
        <f>IF($D57="","",IF([7]設定!$I33="",INDEX([7]第３表!$F$10:$Q$66,MATCH([7]設定!$D33,[7]第３表!$C$10:$C$66,0),10),[7]設定!$I33))</f>
        <v>90.4</v>
      </c>
      <c r="O57" s="56">
        <f>IF($D57="","",IF([7]設定!$I33="",INDEX([7]第３表!$F$10:$Q$66,MATCH([7]設定!$D33,[7]第３表!$C$10:$C$66,0),11),[7]設定!$I33))</f>
        <v>87.2</v>
      </c>
      <c r="P57" s="57">
        <f>IF($D57="","",IF([7]設定!$I33="",INDEX([7]第３表!$F$10:$Q$66,MATCH([7]設定!$D33,[7]第３表!$C$10:$C$66,0),12),[7]設定!$I33))</f>
        <v>3.2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f>IF($D58="","",IF([7]設定!$I34="",INDEX([7]第３表!$F$10:$Q$66,MATCH([7]設定!$D34,[7]第３表!$C$10:$C$66,0),1),[7]設定!$I34))</f>
        <v>17</v>
      </c>
      <c r="F58" s="52">
        <f>IF($D58="","",IF([7]設定!$I34="",INDEX([7]第３表!$F$10:$Q$66,MATCH([7]設定!$D34,[7]第３表!$C$10:$C$66,0),2),[7]設定!$I34))</f>
        <v>141.19999999999999</v>
      </c>
      <c r="G58" s="52">
        <f>IF($D58="","",IF([7]設定!$I34="",INDEX([7]第３表!$F$10:$Q$66,MATCH([7]設定!$D34,[7]第３表!$C$10:$C$66,0),3),[7]設定!$I34))</f>
        <v>132.4</v>
      </c>
      <c r="H58" s="53">
        <f>IF($D58="","",IF([7]設定!$I34="",INDEX([7]第３表!$F$10:$Q$66,MATCH([7]設定!$D34,[7]第３表!$C$10:$C$66,0),4),[7]設定!$I34))</f>
        <v>8.8000000000000007</v>
      </c>
      <c r="I58" s="54">
        <f>IF($D58="","",IF([7]設定!$I34="",INDEX([7]第３表!$F$10:$Q$66,MATCH([7]設定!$D34,[7]第３表!$C$10:$C$66,0),5),[7]設定!$I34))</f>
        <v>17.2</v>
      </c>
      <c r="J58" s="54">
        <f>IF($D58="","",IF([7]設定!$I34="",INDEX([7]第３表!$F$10:$Q$66,MATCH([7]設定!$D34,[7]第３表!$C$10:$C$66,0),6),[7]設定!$I34))</f>
        <v>145.5</v>
      </c>
      <c r="K58" s="54">
        <f>IF($D58="","",IF([7]設定!$I34="",INDEX([7]第３表!$F$10:$Q$66,MATCH([7]設定!$D34,[7]第３表!$C$10:$C$66,0),7),[7]設定!$I34))</f>
        <v>134.9</v>
      </c>
      <c r="L58" s="55">
        <f>IF($D58="","",IF([7]設定!$I34="",INDEX([7]第３表!$F$10:$Q$66,MATCH([7]設定!$D34,[7]第３表!$C$10:$C$66,0),8),[7]設定!$I34))</f>
        <v>10.6</v>
      </c>
      <c r="M58" s="56">
        <f>IF($D58="","",IF([7]設定!$I34="",INDEX([7]第３表!$F$10:$Q$66,MATCH([7]設定!$D34,[7]第３表!$C$10:$C$66,0),9),[7]設定!$I34))</f>
        <v>16.7</v>
      </c>
      <c r="N58" s="56">
        <f>IF($D58="","",IF([7]設定!$I34="",INDEX([7]第３表!$F$10:$Q$66,MATCH([7]設定!$D34,[7]第３表!$C$10:$C$66,0),10),[7]設定!$I34))</f>
        <v>133.9</v>
      </c>
      <c r="O58" s="56">
        <f>IF($D58="","",IF([7]設定!$I34="",INDEX([7]第３表!$F$10:$Q$66,MATCH([7]設定!$D34,[7]第３表!$C$10:$C$66,0),11),[7]設定!$I34))</f>
        <v>128.19999999999999</v>
      </c>
      <c r="P58" s="57">
        <f>IF($D58="","",IF([7]設定!$I34="",INDEX([7]第３表!$F$10:$Q$66,MATCH([7]設定!$D34,[7]第３表!$C$10:$C$66,0),12),[7]設定!$I34))</f>
        <v>5.7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IF($D59="","",IF([7]設定!$I35="",INDEX([7]第３表!$F$10:$Q$66,MATCH([7]設定!$D35,[7]第３表!$C$10:$C$66,0),1),[7]設定!$I35))</f>
        <v>18.399999999999999</v>
      </c>
      <c r="F59" s="52">
        <f>IF($D59="","",IF([7]設定!$I35="",INDEX([7]第３表!$F$10:$Q$66,MATCH([7]設定!$D35,[7]第３表!$C$10:$C$66,0),2),[7]設定!$I35))</f>
        <v>168</v>
      </c>
      <c r="G59" s="52">
        <f>IF($D59="","",IF([7]設定!$I35="",INDEX([7]第３表!$F$10:$Q$66,MATCH([7]設定!$D35,[7]第３表!$C$10:$C$66,0),3),[7]設定!$I35))</f>
        <v>135.30000000000001</v>
      </c>
      <c r="H59" s="53">
        <f>IF($D59="","",IF([7]設定!$I35="",INDEX([7]第３表!$F$10:$Q$66,MATCH([7]設定!$D35,[7]第３表!$C$10:$C$66,0),4),[7]設定!$I35))</f>
        <v>32.700000000000003</v>
      </c>
      <c r="I59" s="54">
        <f>IF($D59="","",IF([7]設定!$I35="",INDEX([7]第３表!$F$10:$Q$66,MATCH([7]設定!$D35,[7]第３表!$C$10:$C$66,0),5),[7]設定!$I35))</f>
        <v>19.3</v>
      </c>
      <c r="J59" s="54">
        <f>IF($D59="","",IF([7]設定!$I35="",INDEX([7]第３表!$F$10:$Q$66,MATCH([7]設定!$D35,[7]第３表!$C$10:$C$66,0),6),[7]設定!$I35))</f>
        <v>185.6</v>
      </c>
      <c r="K59" s="54">
        <f>IF($D59="","",IF([7]設定!$I35="",INDEX([7]第３表!$F$10:$Q$66,MATCH([7]設定!$D35,[7]第３表!$C$10:$C$66,0),7),[7]設定!$I35))</f>
        <v>145</v>
      </c>
      <c r="L59" s="55">
        <f>IF($D59="","",IF([7]設定!$I35="",INDEX([7]第３表!$F$10:$Q$66,MATCH([7]設定!$D35,[7]第３表!$C$10:$C$66,0),8),[7]設定!$I35))</f>
        <v>40.6</v>
      </c>
      <c r="M59" s="56">
        <f>IF($D59="","",IF([7]設定!$I35="",INDEX([7]第３表!$F$10:$Q$66,MATCH([7]設定!$D35,[7]第３表!$C$10:$C$66,0),9),[7]設定!$I35))</f>
        <v>17.7</v>
      </c>
      <c r="N59" s="56">
        <f>IF($D59="","",IF([7]設定!$I35="",INDEX([7]第３表!$F$10:$Q$66,MATCH([7]設定!$D35,[7]第３表!$C$10:$C$66,0),10),[7]設定!$I35))</f>
        <v>152.9</v>
      </c>
      <c r="O59" s="56">
        <f>IF($D59="","",IF([7]設定!$I35="",INDEX([7]第３表!$F$10:$Q$66,MATCH([7]設定!$D35,[7]第３表!$C$10:$C$66,0),11),[7]設定!$I35))</f>
        <v>127</v>
      </c>
      <c r="P59" s="57">
        <f>IF($D59="","",IF([7]設定!$I35="",INDEX([7]第３表!$F$10:$Q$66,MATCH([7]設定!$D35,[7]第３表!$C$10:$C$66,0),12),[7]設定!$I35))</f>
        <v>25.9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IF($D60="","",IF([7]設定!$I36="",INDEX([7]第３表!$F$10:$Q$66,MATCH([7]設定!$D36,[7]第３表!$C$10:$C$66,0),1),[7]設定!$I36))</f>
        <v>18.600000000000001</v>
      </c>
      <c r="F60" s="52">
        <f>IF($D60="","",IF([7]設定!$I36="",INDEX([7]第３表!$F$10:$Q$66,MATCH([7]設定!$D36,[7]第３表!$C$10:$C$66,0),2),[7]設定!$I36))</f>
        <v>141.80000000000001</v>
      </c>
      <c r="G60" s="52">
        <f>IF($D60="","",IF([7]設定!$I36="",INDEX([7]第３表!$F$10:$Q$66,MATCH([7]設定!$D36,[7]第３表!$C$10:$C$66,0),3),[7]設定!$I36))</f>
        <v>136.9</v>
      </c>
      <c r="H60" s="53">
        <f>IF($D60="","",IF([7]設定!$I36="",INDEX([7]第３表!$F$10:$Q$66,MATCH([7]設定!$D36,[7]第３表!$C$10:$C$66,0),4),[7]設定!$I36))</f>
        <v>4.9000000000000004</v>
      </c>
      <c r="I60" s="54">
        <f>IF($D60="","",IF([7]設定!$I36="",INDEX([7]第３表!$F$10:$Q$66,MATCH([7]設定!$D36,[7]第３表!$C$10:$C$66,0),5),[7]設定!$I36))</f>
        <v>19.600000000000001</v>
      </c>
      <c r="J60" s="54">
        <f>IF($D60="","",IF([7]設定!$I36="",INDEX([7]第３表!$F$10:$Q$66,MATCH([7]設定!$D36,[7]第３表!$C$10:$C$66,0),6),[7]設定!$I36))</f>
        <v>154.30000000000001</v>
      </c>
      <c r="K60" s="54">
        <f>IF($D60="","",IF([7]設定!$I36="",INDEX([7]第３表!$F$10:$Q$66,MATCH([7]設定!$D36,[7]第３表!$C$10:$C$66,0),7),[7]設定!$I36))</f>
        <v>147.19999999999999</v>
      </c>
      <c r="L60" s="55">
        <f>IF($D60="","",IF([7]設定!$I36="",INDEX([7]第３表!$F$10:$Q$66,MATCH([7]設定!$D36,[7]第３表!$C$10:$C$66,0),8),[7]設定!$I36))</f>
        <v>7.1</v>
      </c>
      <c r="M60" s="56">
        <f>IF($D60="","",IF([7]設定!$I36="",INDEX([7]第３表!$F$10:$Q$66,MATCH([7]設定!$D36,[7]第３表!$C$10:$C$66,0),9),[7]設定!$I36))</f>
        <v>18.2</v>
      </c>
      <c r="N60" s="56">
        <f>IF($D60="","",IF([7]設定!$I36="",INDEX([7]第３表!$F$10:$Q$66,MATCH([7]設定!$D36,[7]第３表!$C$10:$C$66,0),10),[7]設定!$I36))</f>
        <v>137.4</v>
      </c>
      <c r="O60" s="56">
        <f>IF($D60="","",IF([7]設定!$I36="",INDEX([7]第３表!$F$10:$Q$66,MATCH([7]設定!$D36,[7]第３表!$C$10:$C$66,0),11),[7]設定!$I36))</f>
        <v>133.30000000000001</v>
      </c>
      <c r="P60" s="57">
        <f>IF($D60="","",IF([7]設定!$I36="",INDEX([7]第３表!$F$10:$Q$66,MATCH([7]設定!$D36,[7]第３表!$C$10:$C$66,0),12),[7]設定!$I36))</f>
        <v>4.0999999999999996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IF($D61="","",IF([7]設定!$I37="",INDEX([7]第３表!$F$10:$Q$66,MATCH([7]設定!$D37,[7]第３表!$C$10:$C$66,0),1),[7]設定!$I37))</f>
        <v>20.9</v>
      </c>
      <c r="F61" s="52">
        <f>IF($D61="","",IF([7]設定!$I37="",INDEX([7]第３表!$F$10:$Q$66,MATCH([7]設定!$D37,[7]第３表!$C$10:$C$66,0),2),[7]設定!$I37))</f>
        <v>167.6</v>
      </c>
      <c r="G61" s="52">
        <f>IF($D61="","",IF([7]設定!$I37="",INDEX([7]第３表!$F$10:$Q$66,MATCH([7]設定!$D37,[7]第３表!$C$10:$C$66,0),3),[7]設定!$I37))</f>
        <v>161.5</v>
      </c>
      <c r="H61" s="53">
        <f>IF($D61="","",IF([7]設定!$I37="",INDEX([7]第３表!$F$10:$Q$66,MATCH([7]設定!$D37,[7]第３表!$C$10:$C$66,0),4),[7]設定!$I37))</f>
        <v>6.1</v>
      </c>
      <c r="I61" s="54">
        <f>IF($D61="","",IF([7]設定!$I37="",INDEX([7]第３表!$F$10:$Q$66,MATCH([7]設定!$D37,[7]第３表!$C$10:$C$66,0),5),[7]設定!$I37))</f>
        <v>21</v>
      </c>
      <c r="J61" s="54">
        <f>IF($D61="","",IF([7]設定!$I37="",INDEX([7]第３表!$F$10:$Q$66,MATCH([7]設定!$D37,[7]第３表!$C$10:$C$66,0),6),[7]設定!$I37))</f>
        <v>170.7</v>
      </c>
      <c r="K61" s="54">
        <f>IF($D61="","",IF([7]設定!$I37="",INDEX([7]第３表!$F$10:$Q$66,MATCH([7]設定!$D37,[7]第３表!$C$10:$C$66,0),7),[7]設定!$I37))</f>
        <v>165.4</v>
      </c>
      <c r="L61" s="55">
        <f>IF($D61="","",IF([7]設定!$I37="",INDEX([7]第３表!$F$10:$Q$66,MATCH([7]設定!$D37,[7]第３表!$C$10:$C$66,0),8),[7]設定!$I37))</f>
        <v>5.3</v>
      </c>
      <c r="M61" s="56">
        <f>IF($D61="","",IF([7]設定!$I37="",INDEX([7]第３表!$F$10:$Q$66,MATCH([7]設定!$D37,[7]第３表!$C$10:$C$66,0),9),[7]設定!$I37))</f>
        <v>20.8</v>
      </c>
      <c r="N61" s="56">
        <f>IF($D61="","",IF([7]設定!$I37="",INDEX([7]第３表!$F$10:$Q$66,MATCH([7]設定!$D37,[7]第３表!$C$10:$C$66,0),10),[7]設定!$I37))</f>
        <v>162.9</v>
      </c>
      <c r="O61" s="56">
        <f>IF($D61="","",IF([7]設定!$I37="",INDEX([7]第３表!$F$10:$Q$66,MATCH([7]設定!$D37,[7]第３表!$C$10:$C$66,0),11),[7]設定!$I37))</f>
        <v>155.69999999999999</v>
      </c>
      <c r="P61" s="57">
        <f>IF($D61="","",IF([7]設定!$I37="",INDEX([7]第３表!$F$10:$Q$66,MATCH([7]設定!$D37,[7]第３表!$C$10:$C$66,0),12),[7]設定!$I37))</f>
        <v>7.2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IF($D62="","",IF([7]設定!$I38="",INDEX([7]第３表!$F$10:$Q$66,MATCH([7]設定!$D38,[7]第３表!$C$10:$C$66,0),1),[7]設定!$I38))</f>
        <v>18.399999999999999</v>
      </c>
      <c r="F62" s="52">
        <f>IF($D62="","",IF([7]設定!$I38="",INDEX([7]第３表!$F$10:$Q$66,MATCH([7]設定!$D38,[7]第３表!$C$10:$C$66,0),2),[7]設定!$I38))</f>
        <v>138</v>
      </c>
      <c r="G62" s="52">
        <f>IF($D62="","",IF([7]設定!$I38="",INDEX([7]第３表!$F$10:$Q$66,MATCH([7]設定!$D38,[7]第３表!$C$10:$C$66,0),3),[7]設定!$I38))</f>
        <v>128.9</v>
      </c>
      <c r="H62" s="53">
        <f>IF($D62="","",IF([7]設定!$I38="",INDEX([7]第３表!$F$10:$Q$66,MATCH([7]設定!$D38,[7]第３表!$C$10:$C$66,0),4),[7]設定!$I38))</f>
        <v>9.1</v>
      </c>
      <c r="I62" s="54">
        <f>IF($D62="","",IF([7]設定!$I38="",INDEX([7]第３表!$F$10:$Q$66,MATCH([7]設定!$D38,[7]第３表!$C$10:$C$66,0),5),[7]設定!$I38))</f>
        <v>18.8</v>
      </c>
      <c r="J62" s="54">
        <f>IF($D62="","",IF([7]設定!$I38="",INDEX([7]第３表!$F$10:$Q$66,MATCH([7]設定!$D38,[7]第３表!$C$10:$C$66,0),6),[7]設定!$I38))</f>
        <v>153.9</v>
      </c>
      <c r="K62" s="54">
        <f>IF($D62="","",IF([7]設定!$I38="",INDEX([7]第３表!$F$10:$Q$66,MATCH([7]設定!$D38,[7]第３表!$C$10:$C$66,0),7),[7]設定!$I38))</f>
        <v>141</v>
      </c>
      <c r="L62" s="55">
        <f>IF($D62="","",IF([7]設定!$I38="",INDEX([7]第３表!$F$10:$Q$66,MATCH([7]設定!$D38,[7]第３表!$C$10:$C$66,0),8),[7]設定!$I38))</f>
        <v>12.9</v>
      </c>
      <c r="M62" s="56">
        <f>IF($D62="","",IF([7]設定!$I38="",INDEX([7]第３表!$F$10:$Q$66,MATCH([7]設定!$D38,[7]第３表!$C$10:$C$66,0),9),[7]設定!$I38))</f>
        <v>17.899999999999999</v>
      </c>
      <c r="N62" s="56">
        <f>IF($D62="","",IF([7]設定!$I38="",INDEX([7]第３表!$F$10:$Q$66,MATCH([7]設定!$D38,[7]第３表!$C$10:$C$66,0),10),[7]設定!$I38))</f>
        <v>121.1</v>
      </c>
      <c r="O62" s="56">
        <f>IF($D62="","",IF([7]設定!$I38="",INDEX([7]第３表!$F$10:$Q$66,MATCH([7]設定!$D38,[7]第３表!$C$10:$C$66,0),11),[7]設定!$I38))</f>
        <v>116.1</v>
      </c>
      <c r="P62" s="57">
        <f>IF($D62="","",IF([7]設定!$I38="",INDEX([7]第３表!$F$10:$Q$66,MATCH([7]設定!$D38,[7]第３表!$C$10:$C$66,0),12),[7]設定!$I38))</f>
        <v>5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IF($D63="","",IF([7]設定!$I39="",INDEX([7]第３表!$F$10:$Q$66,MATCH([7]設定!$D39,[7]第３表!$C$10:$C$66,0),1),[7]設定!$I39))</f>
        <v>20.2</v>
      </c>
      <c r="F63" s="48">
        <f>IF($D63="","",IF([7]設定!$I39="",INDEX([7]第３表!$F$10:$Q$66,MATCH([7]設定!$D39,[7]第３表!$C$10:$C$66,0),2),[7]設定!$I39))</f>
        <v>163.1</v>
      </c>
      <c r="G63" s="48">
        <f>IF($D63="","",IF([7]設定!$I39="",INDEX([7]第３表!$F$10:$Q$66,MATCH([7]設定!$D39,[7]第３表!$C$10:$C$66,0),3),[7]設定!$I39))</f>
        <v>149.80000000000001</v>
      </c>
      <c r="H63" s="64">
        <f>IF($D63="","",IF([7]設定!$I39="",INDEX([7]第３表!$F$10:$Q$66,MATCH([7]設定!$D39,[7]第３表!$C$10:$C$66,0),4),[7]設定!$I39))</f>
        <v>13.3</v>
      </c>
      <c r="I63" s="48">
        <f>IF($D63="","",IF([7]設定!$I39="",INDEX([7]第３表!$F$10:$Q$66,MATCH([7]設定!$D39,[7]第３表!$C$10:$C$66,0),5),[7]設定!$I39))</f>
        <v>20.9</v>
      </c>
      <c r="J63" s="48">
        <f>IF($D63="","",IF([7]設定!$I39="",INDEX([7]第３表!$F$10:$Q$66,MATCH([7]設定!$D39,[7]第３表!$C$10:$C$66,0),6),[7]設定!$I39))</f>
        <v>177.2</v>
      </c>
      <c r="K63" s="48">
        <f>IF($D63="","",IF([7]設定!$I39="",INDEX([7]第３表!$F$10:$Q$66,MATCH([7]設定!$D39,[7]第３表!$C$10:$C$66,0),7),[7]設定!$I39))</f>
        <v>159.9</v>
      </c>
      <c r="L63" s="64">
        <f>IF($D63="","",IF([7]設定!$I39="",INDEX([7]第３表!$F$10:$Q$66,MATCH([7]設定!$D39,[7]第３表!$C$10:$C$66,0),8),[7]設定!$I39))</f>
        <v>17.3</v>
      </c>
      <c r="M63" s="48">
        <f>IF($D63="","",IF([7]設定!$I39="",INDEX([7]第３表!$F$10:$Q$66,MATCH([7]設定!$D39,[7]第３表!$C$10:$C$66,0),9),[7]設定!$I39))</f>
        <v>19.5</v>
      </c>
      <c r="N63" s="48">
        <f>IF($D63="","",IF([7]設定!$I39="",INDEX([7]第３表!$F$10:$Q$66,MATCH([7]設定!$D39,[7]第３表!$C$10:$C$66,0),10),[7]設定!$I39))</f>
        <v>149.80000000000001</v>
      </c>
      <c r="O63" s="48">
        <f>IF($D63="","",IF([7]設定!$I39="",INDEX([7]第３表!$F$10:$Q$66,MATCH([7]設定!$D39,[7]第３表!$C$10:$C$66,0),11),[7]設定!$I39))</f>
        <v>140.30000000000001</v>
      </c>
      <c r="P63" s="64">
        <f>IF($D63="","",IF([7]設定!$I39="",INDEX([7]第３表!$F$10:$Q$66,MATCH([7]設定!$D39,[7]第３表!$C$10:$C$66,0),12),[7]設定!$I39))</f>
        <v>9.5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IF($D64="","",IF([7]設定!$I40="",INDEX([7]第３表!$F$10:$Q$66,MATCH([7]設定!$D40,[7]第３表!$C$10:$C$66,0),1),[7]設定!$I40))</f>
        <v>20.399999999999999</v>
      </c>
      <c r="F64" s="52">
        <f>IF($D64="","",IF([7]設定!$I40="",INDEX([7]第３表!$F$10:$Q$66,MATCH([7]設定!$D40,[7]第３表!$C$10:$C$66,0),2),[7]設定!$I40))</f>
        <v>167.1</v>
      </c>
      <c r="G64" s="52">
        <f>IF($D64="","",IF([7]設定!$I40="",INDEX([7]第３表!$F$10:$Q$66,MATCH([7]設定!$D40,[7]第３表!$C$10:$C$66,0),3),[7]設定!$I40))</f>
        <v>154.80000000000001</v>
      </c>
      <c r="H64" s="55">
        <f>IF($D64="","",IF([7]設定!$I40="",INDEX([7]第３表!$F$10:$Q$66,MATCH([7]設定!$D40,[7]第３表!$C$10:$C$66,0),4),[7]設定!$I40))</f>
        <v>12.3</v>
      </c>
      <c r="I64" s="52">
        <f>IF($D64="","",IF([7]設定!$I40="",INDEX([7]第３表!$F$10:$Q$66,MATCH([7]設定!$D40,[7]第３表!$C$10:$C$66,0),5),[7]設定!$I40))</f>
        <v>20.3</v>
      </c>
      <c r="J64" s="52">
        <f>IF($D64="","",IF([7]設定!$I40="",INDEX([7]第３表!$F$10:$Q$66,MATCH([7]設定!$D40,[7]第３表!$C$10:$C$66,0),6),[7]設定!$I40))</f>
        <v>168.9</v>
      </c>
      <c r="K64" s="52">
        <f>IF($D64="","",IF([7]設定!$I40="",INDEX([7]第３表!$F$10:$Q$66,MATCH([7]設定!$D40,[7]第３表!$C$10:$C$66,0),7),[7]設定!$I40))</f>
        <v>152.5</v>
      </c>
      <c r="L64" s="55">
        <f>IF($D64="","",IF([7]設定!$I40="",INDEX([7]第３表!$F$10:$Q$66,MATCH([7]設定!$D40,[7]第３表!$C$10:$C$66,0),8),[7]設定!$I40))</f>
        <v>16.399999999999999</v>
      </c>
      <c r="M64" s="52">
        <f>IF($D64="","",IF([7]設定!$I40="",INDEX([7]第３表!$F$10:$Q$66,MATCH([7]設定!$D40,[7]第３表!$C$10:$C$66,0),9),[7]設定!$I40))</f>
        <v>20.399999999999999</v>
      </c>
      <c r="N64" s="52">
        <f>IF($D64="","",IF([7]設定!$I40="",INDEX([7]第３表!$F$10:$Q$66,MATCH([7]設定!$D40,[7]第３表!$C$10:$C$66,0),10),[7]設定!$I40))</f>
        <v>165.7</v>
      </c>
      <c r="O64" s="52">
        <f>IF($D64="","",IF([7]設定!$I40="",INDEX([7]第３表!$F$10:$Q$66,MATCH([7]設定!$D40,[7]第３表!$C$10:$C$66,0),11),[7]設定!$I40))</f>
        <v>156.4</v>
      </c>
      <c r="P64" s="55">
        <f>IF($D64="","",IF([7]設定!$I40="",INDEX([7]第３表!$F$10:$Q$66,MATCH([7]設定!$D40,[7]第３表!$C$10:$C$66,0),12),[7]設定!$I40))</f>
        <v>9.3000000000000007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IF($D65="","",IF([7]設定!$I41="",INDEX([7]第３表!$F$10:$Q$66,MATCH([7]設定!$D41,[7]第３表!$C$10:$C$66,0),1),[7]設定!$I41))</f>
        <v>19</v>
      </c>
      <c r="F65" s="52">
        <f>IF($D65="","",IF([7]設定!$I41="",INDEX([7]第３表!$F$10:$Q$66,MATCH([7]設定!$D41,[7]第３表!$C$10:$C$66,0),2),[7]設定!$I41))</f>
        <v>153.19999999999999</v>
      </c>
      <c r="G65" s="52">
        <f>IF($D65="","",IF([7]設定!$I41="",INDEX([7]第３表!$F$10:$Q$66,MATCH([7]設定!$D41,[7]第３表!$C$10:$C$66,0),3),[7]設定!$I41))</f>
        <v>140.9</v>
      </c>
      <c r="H65" s="55">
        <f>IF($D65="","",IF([7]設定!$I41="",INDEX([7]第３表!$F$10:$Q$66,MATCH([7]設定!$D41,[7]第３表!$C$10:$C$66,0),4),[7]設定!$I41))</f>
        <v>12.3</v>
      </c>
      <c r="I65" s="52">
        <f>IF($D65="","",IF([7]設定!$I41="",INDEX([7]第３表!$F$10:$Q$66,MATCH([7]設定!$D41,[7]第３表!$C$10:$C$66,0),5),[7]設定!$I41))</f>
        <v>18.7</v>
      </c>
      <c r="J65" s="52">
        <f>IF($D65="","",IF([7]設定!$I41="",INDEX([7]第３表!$F$10:$Q$66,MATCH([7]設定!$D41,[7]第３表!$C$10:$C$66,0),6),[7]設定!$I41))</f>
        <v>156.9</v>
      </c>
      <c r="K65" s="52">
        <f>IF($D65="","",IF([7]設定!$I41="",INDEX([7]第３表!$F$10:$Q$66,MATCH([7]設定!$D41,[7]第３表!$C$10:$C$66,0),7),[7]設定!$I41))</f>
        <v>142.6</v>
      </c>
      <c r="L65" s="55">
        <f>IF($D65="","",IF([7]設定!$I41="",INDEX([7]第３表!$F$10:$Q$66,MATCH([7]設定!$D41,[7]第３表!$C$10:$C$66,0),8),[7]設定!$I41))</f>
        <v>14.3</v>
      </c>
      <c r="M65" s="52">
        <f>IF($D65="","",IF([7]設定!$I41="",INDEX([7]第３表!$F$10:$Q$66,MATCH([7]設定!$D41,[7]第３表!$C$10:$C$66,0),9),[7]設定!$I41))</f>
        <v>20.2</v>
      </c>
      <c r="N65" s="52">
        <f>IF($D65="","",IF([7]設定!$I41="",INDEX([7]第３表!$F$10:$Q$66,MATCH([7]設定!$D41,[7]第３表!$C$10:$C$66,0),10),[7]設定!$I41))</f>
        <v>136.6</v>
      </c>
      <c r="O65" s="52">
        <f>IF($D65="","",IF([7]設定!$I41="",INDEX([7]第３表!$F$10:$Q$66,MATCH([7]設定!$D41,[7]第３表!$C$10:$C$66,0),11),[7]設定!$I41))</f>
        <v>133.4</v>
      </c>
      <c r="P65" s="55">
        <f>IF($D65="","",IF([7]設定!$I41="",INDEX([7]第３表!$F$10:$Q$66,MATCH([7]設定!$D41,[7]第３表!$C$10:$C$66,0),12),[7]設定!$I41))</f>
        <v>3.2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IF($D66="","",IF([7]設定!$I42="",INDEX([7]第３表!$F$10:$Q$66,MATCH([7]設定!$D42,[7]第３表!$C$10:$C$66,0),1),[7]設定!$I42))</f>
        <v>x</v>
      </c>
      <c r="F66" s="52" t="str">
        <f>IF($D66="","",IF([7]設定!$I42="",INDEX([7]第３表!$F$10:$Q$66,MATCH([7]設定!$D42,[7]第３表!$C$10:$C$66,0),2),[7]設定!$I42))</f>
        <v>x</v>
      </c>
      <c r="G66" s="52" t="str">
        <f>IF($D66="","",IF([7]設定!$I42="",INDEX([7]第３表!$F$10:$Q$66,MATCH([7]設定!$D42,[7]第３表!$C$10:$C$66,0),3),[7]設定!$I42))</f>
        <v>x</v>
      </c>
      <c r="H66" s="55" t="str">
        <f>IF($D66="","",IF([7]設定!$I42="",INDEX([7]第３表!$F$10:$Q$66,MATCH([7]設定!$D42,[7]第３表!$C$10:$C$66,0),4),[7]設定!$I42))</f>
        <v>x</v>
      </c>
      <c r="I66" s="52" t="str">
        <f>IF($D66="","",IF([7]設定!$I42="",INDEX([7]第３表!$F$10:$Q$66,MATCH([7]設定!$D42,[7]第３表!$C$10:$C$66,0),5),[7]設定!$I42))</f>
        <v>x</v>
      </c>
      <c r="J66" s="52" t="str">
        <f>IF($D66="","",IF([7]設定!$I42="",INDEX([7]第３表!$F$10:$Q$66,MATCH([7]設定!$D42,[7]第３表!$C$10:$C$66,0),6),[7]設定!$I42))</f>
        <v>x</v>
      </c>
      <c r="K66" s="52" t="str">
        <f>IF($D66="","",IF([7]設定!$I42="",INDEX([7]第３表!$F$10:$Q$66,MATCH([7]設定!$D42,[7]第３表!$C$10:$C$66,0),7),[7]設定!$I42))</f>
        <v>x</v>
      </c>
      <c r="L66" s="55" t="str">
        <f>IF($D66="","",IF([7]設定!$I42="",INDEX([7]第３表!$F$10:$Q$66,MATCH([7]設定!$D42,[7]第３表!$C$10:$C$66,0),8),[7]設定!$I42))</f>
        <v>x</v>
      </c>
      <c r="M66" s="52" t="str">
        <f>IF($D66="","",IF([7]設定!$I42="",INDEX([7]第３表!$F$10:$Q$66,MATCH([7]設定!$D42,[7]第３表!$C$10:$C$66,0),9),[7]設定!$I42))</f>
        <v>x</v>
      </c>
      <c r="N66" s="52" t="str">
        <f>IF($D66="","",IF([7]設定!$I42="",INDEX([7]第３表!$F$10:$Q$66,MATCH([7]設定!$D42,[7]第３表!$C$10:$C$66,0),10),[7]設定!$I42))</f>
        <v>x</v>
      </c>
      <c r="O66" s="52" t="str">
        <f>IF($D66="","",IF([7]設定!$I42="",INDEX([7]第３表!$F$10:$Q$66,MATCH([7]設定!$D42,[7]第３表!$C$10:$C$66,0),11),[7]設定!$I42))</f>
        <v>x</v>
      </c>
      <c r="P66" s="55" t="str">
        <f>IF($D66="","",IF([7]設定!$I42="",INDEX([7]第３表!$F$10:$Q$66,MATCH([7]設定!$D42,[7]第３表!$C$10:$C$66,0),12),[7]設定!$I42))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>
        <f>IF($D67="","",IF([7]設定!$I43="",INDEX([7]第３表!$F$10:$Q$66,MATCH([7]設定!$D43,[7]第３表!$C$10:$C$66,0),1),[7]設定!$I43))</f>
        <v>18.899999999999999</v>
      </c>
      <c r="F67" s="52">
        <f>IF($D67="","",IF([7]設定!$I43="",INDEX([7]第３表!$F$10:$Q$66,MATCH([7]設定!$D43,[7]第３表!$C$10:$C$66,0),2),[7]設定!$I43))</f>
        <v>148.6</v>
      </c>
      <c r="G67" s="52">
        <f>IF($D67="","",IF([7]設定!$I43="",INDEX([7]第３表!$F$10:$Q$66,MATCH([7]設定!$D43,[7]第３表!$C$10:$C$66,0),3),[7]設定!$I43))</f>
        <v>139.69999999999999</v>
      </c>
      <c r="H67" s="55">
        <f>IF($D67="","",IF([7]設定!$I43="",INDEX([7]第３表!$F$10:$Q$66,MATCH([7]設定!$D43,[7]第３表!$C$10:$C$66,0),4),[7]設定!$I43))</f>
        <v>8.9</v>
      </c>
      <c r="I67" s="52">
        <f>IF($D67="","",IF([7]設定!$I43="",INDEX([7]第３表!$F$10:$Q$66,MATCH([7]設定!$D43,[7]第３表!$C$10:$C$66,0),5),[7]設定!$I43))</f>
        <v>18.600000000000001</v>
      </c>
      <c r="J67" s="52">
        <f>IF($D67="","",IF([7]設定!$I43="",INDEX([7]第３表!$F$10:$Q$66,MATCH([7]設定!$D43,[7]第３表!$C$10:$C$66,0),6),[7]設定!$I43))</f>
        <v>147.6</v>
      </c>
      <c r="K67" s="52">
        <f>IF($D67="","",IF([7]設定!$I43="",INDEX([7]第３表!$F$10:$Q$66,MATCH([7]設定!$D43,[7]第３表!$C$10:$C$66,0),7),[7]設定!$I43))</f>
        <v>136.80000000000001</v>
      </c>
      <c r="L67" s="55">
        <f>IF($D67="","",IF([7]設定!$I43="",INDEX([7]第３表!$F$10:$Q$66,MATCH([7]設定!$D43,[7]第３表!$C$10:$C$66,0),8),[7]設定!$I43))</f>
        <v>10.8</v>
      </c>
      <c r="M67" s="52">
        <f>IF($D67="","",IF([7]設定!$I43="",INDEX([7]第３表!$F$10:$Q$66,MATCH([7]設定!$D43,[7]第３表!$C$10:$C$66,0),9),[7]設定!$I43))</f>
        <v>19.8</v>
      </c>
      <c r="N67" s="52">
        <f>IF($D67="","",IF([7]設定!$I43="",INDEX([7]第３表!$F$10:$Q$66,MATCH([7]設定!$D43,[7]第３表!$C$10:$C$66,0),10),[7]設定!$I43))</f>
        <v>151.1</v>
      </c>
      <c r="O67" s="52">
        <f>IF($D67="","",IF([7]設定!$I43="",INDEX([7]第３表!$F$10:$Q$66,MATCH([7]設定!$D43,[7]第３表!$C$10:$C$66,0),11),[7]設定!$I43))</f>
        <v>147.19999999999999</v>
      </c>
      <c r="P67" s="55">
        <f>IF($D67="","",IF([7]設定!$I43="",INDEX([7]第３表!$F$10:$Q$66,MATCH([7]設定!$D43,[7]第３表!$C$10:$C$66,0),12),[7]設定!$I43))</f>
        <v>3.9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IF($D68="","",IF([7]設定!$I44="",INDEX([7]第３表!$F$10:$Q$66,MATCH([7]設定!$D44,[7]第３表!$C$10:$C$66,0),1),[7]設定!$I44))</f>
        <v>19.5</v>
      </c>
      <c r="F68" s="52">
        <f>IF($D68="","",IF([7]設定!$I44="",INDEX([7]第３表!$F$10:$Q$66,MATCH([7]設定!$D44,[7]第３表!$C$10:$C$66,0),2),[7]設定!$I44))</f>
        <v>159</v>
      </c>
      <c r="G68" s="52">
        <f>IF($D68="","",IF([7]設定!$I44="",INDEX([7]第３表!$F$10:$Q$66,MATCH([7]設定!$D44,[7]第３表!$C$10:$C$66,0),3),[7]設定!$I44))</f>
        <v>142.5</v>
      </c>
      <c r="H68" s="55">
        <f>IF($D68="","",IF([7]設定!$I44="",INDEX([7]第３表!$F$10:$Q$66,MATCH([7]設定!$D44,[7]第３表!$C$10:$C$66,0),4),[7]設定!$I44))</f>
        <v>16.5</v>
      </c>
      <c r="I68" s="52">
        <f>IF($D68="","",IF([7]設定!$I44="",INDEX([7]第３表!$F$10:$Q$66,MATCH([7]設定!$D44,[7]第３表!$C$10:$C$66,0),5),[7]設定!$I44))</f>
        <v>19.5</v>
      </c>
      <c r="J68" s="52">
        <f>IF($D68="","",IF([7]設定!$I44="",INDEX([7]第３表!$F$10:$Q$66,MATCH([7]設定!$D44,[7]第３表!$C$10:$C$66,0),6),[7]設定!$I44))</f>
        <v>159.80000000000001</v>
      </c>
      <c r="K68" s="52">
        <f>IF($D68="","",IF([7]設定!$I44="",INDEX([7]第３表!$F$10:$Q$66,MATCH([7]設定!$D44,[7]第３表!$C$10:$C$66,0),7),[7]設定!$I44))</f>
        <v>142.5</v>
      </c>
      <c r="L68" s="55">
        <f>IF($D68="","",IF([7]設定!$I44="",INDEX([7]第３表!$F$10:$Q$66,MATCH([7]設定!$D44,[7]第３表!$C$10:$C$66,0),8),[7]設定!$I44))</f>
        <v>17.3</v>
      </c>
      <c r="M68" s="52">
        <f>IF($D68="","",IF([7]設定!$I44="",INDEX([7]第３表!$F$10:$Q$66,MATCH([7]設定!$D44,[7]第３表!$C$10:$C$66,0),9),[7]設定!$I44))</f>
        <v>19.3</v>
      </c>
      <c r="N68" s="52">
        <f>IF($D68="","",IF([7]設定!$I44="",INDEX([7]第３表!$F$10:$Q$66,MATCH([7]設定!$D44,[7]第３表!$C$10:$C$66,0),10),[7]設定!$I44))</f>
        <v>149</v>
      </c>
      <c r="O68" s="52">
        <f>IF($D68="","",IF([7]設定!$I44="",INDEX([7]第３表!$F$10:$Q$66,MATCH([7]設定!$D44,[7]第３表!$C$10:$C$66,0),11),[7]設定!$I44))</f>
        <v>143</v>
      </c>
      <c r="P68" s="55">
        <f>IF($D68="","",IF([7]設定!$I44="",INDEX([7]第３表!$F$10:$Q$66,MATCH([7]設定!$D44,[7]第３表!$C$10:$C$66,0),12),[7]設定!$I44))</f>
        <v>6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IF($D69="","",IF([7]設定!$I45="",INDEX([7]第３表!$F$10:$Q$66,MATCH([7]設定!$D45,[7]第３表!$C$10:$C$66,0),1),[7]設定!$I45))</f>
        <v>20.6</v>
      </c>
      <c r="F69" s="52">
        <f>IF($D69="","",IF([7]設定!$I45="",INDEX([7]第３表!$F$10:$Q$66,MATCH([7]設定!$D45,[7]第３表!$C$10:$C$66,0),2),[7]設定!$I45))</f>
        <v>165.2</v>
      </c>
      <c r="G69" s="52">
        <f>IF($D69="","",IF([7]設定!$I45="",INDEX([7]第３表!$F$10:$Q$66,MATCH([7]設定!$D45,[7]第３表!$C$10:$C$66,0),3),[7]設定!$I45))</f>
        <v>151.9</v>
      </c>
      <c r="H69" s="55">
        <f>IF($D69="","",IF([7]設定!$I45="",INDEX([7]第３表!$F$10:$Q$66,MATCH([7]設定!$D45,[7]第３表!$C$10:$C$66,0),4),[7]設定!$I45))</f>
        <v>13.3</v>
      </c>
      <c r="I69" s="52">
        <f>IF($D69="","",IF([7]設定!$I45="",INDEX([7]第３表!$F$10:$Q$66,MATCH([7]設定!$D45,[7]第３表!$C$10:$C$66,0),5),[7]設定!$I45))</f>
        <v>20.9</v>
      </c>
      <c r="J69" s="52">
        <f>IF($D69="","",IF([7]設定!$I45="",INDEX([7]第３表!$F$10:$Q$66,MATCH([7]設定!$D45,[7]第３表!$C$10:$C$66,0),6),[7]設定!$I45))</f>
        <v>174.6</v>
      </c>
      <c r="K69" s="52">
        <f>IF($D69="","",IF([7]設定!$I45="",INDEX([7]第３表!$F$10:$Q$66,MATCH([7]設定!$D45,[7]第３表!$C$10:$C$66,0),7),[7]設定!$I45))</f>
        <v>157.4</v>
      </c>
      <c r="L69" s="55">
        <f>IF($D69="","",IF([7]設定!$I45="",INDEX([7]第３表!$F$10:$Q$66,MATCH([7]設定!$D45,[7]第３表!$C$10:$C$66,0),8),[7]設定!$I45))</f>
        <v>17.2</v>
      </c>
      <c r="M69" s="52">
        <f>IF($D69="","",IF([7]設定!$I45="",INDEX([7]第３表!$F$10:$Q$66,MATCH([7]設定!$D45,[7]第３表!$C$10:$C$66,0),9),[7]設定!$I45))</f>
        <v>19.899999999999999</v>
      </c>
      <c r="N69" s="52">
        <f>IF($D69="","",IF([7]設定!$I45="",INDEX([7]第３表!$F$10:$Q$66,MATCH([7]設定!$D45,[7]第３表!$C$10:$C$66,0),10),[7]設定!$I45))</f>
        <v>136.69999999999999</v>
      </c>
      <c r="O69" s="52">
        <f>IF($D69="","",IF([7]設定!$I45="",INDEX([7]第３表!$F$10:$Q$66,MATCH([7]設定!$D45,[7]第３表!$C$10:$C$66,0),11),[7]設定!$I45))</f>
        <v>135.19999999999999</v>
      </c>
      <c r="P69" s="55">
        <f>IF($D69="","",IF([7]設定!$I45="",INDEX([7]第３表!$F$10:$Q$66,MATCH([7]設定!$D45,[7]第３表!$C$10:$C$66,0),12),[7]設定!$I45))</f>
        <v>1.5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IF($D70="","",IF([7]設定!$I46="",INDEX([7]第３表!$F$10:$Q$66,MATCH([7]設定!$D46,[7]第３表!$C$10:$C$66,0),1),[7]設定!$I46))</f>
        <v>20.6</v>
      </c>
      <c r="F70" s="52">
        <f>IF($D70="","",IF([7]設定!$I46="",INDEX([7]第３表!$F$10:$Q$66,MATCH([7]設定!$D46,[7]第３表!$C$10:$C$66,0),2),[7]設定!$I46))</f>
        <v>172.6</v>
      </c>
      <c r="G70" s="52">
        <f>IF($D70="","",IF([7]設定!$I46="",INDEX([7]第３表!$F$10:$Q$66,MATCH([7]設定!$D46,[7]第３表!$C$10:$C$66,0),3),[7]設定!$I46))</f>
        <v>151.80000000000001</v>
      </c>
      <c r="H70" s="55">
        <f>IF($D70="","",IF([7]設定!$I46="",INDEX([7]第３表!$F$10:$Q$66,MATCH([7]設定!$D46,[7]第３表!$C$10:$C$66,0),4),[7]設定!$I46))</f>
        <v>20.8</v>
      </c>
      <c r="I70" s="52">
        <f>IF($D70="","",IF([7]設定!$I46="",INDEX([7]第３表!$F$10:$Q$66,MATCH([7]設定!$D46,[7]第３表!$C$10:$C$66,0),5),[7]設定!$I46))</f>
        <v>20.7</v>
      </c>
      <c r="J70" s="52">
        <f>IF($D70="","",IF([7]設定!$I46="",INDEX([7]第３表!$F$10:$Q$66,MATCH([7]設定!$D46,[7]第３表!$C$10:$C$66,0),6),[7]設定!$I46))</f>
        <v>174.3</v>
      </c>
      <c r="K70" s="52">
        <f>IF($D70="","",IF([7]設定!$I46="",INDEX([7]第３表!$F$10:$Q$66,MATCH([7]設定!$D46,[7]第３表!$C$10:$C$66,0),7),[7]設定!$I46))</f>
        <v>151.69999999999999</v>
      </c>
      <c r="L70" s="55">
        <f>IF($D70="","",IF([7]設定!$I46="",INDEX([7]第３表!$F$10:$Q$66,MATCH([7]設定!$D46,[7]第３表!$C$10:$C$66,0),8),[7]設定!$I46))</f>
        <v>22.6</v>
      </c>
      <c r="M70" s="52">
        <f>IF($D70="","",IF([7]設定!$I46="",INDEX([7]第３表!$F$10:$Q$66,MATCH([7]設定!$D46,[7]第３表!$C$10:$C$66,0),9),[7]設定!$I46))</f>
        <v>19.899999999999999</v>
      </c>
      <c r="N70" s="52">
        <f>IF($D70="","",IF([7]設定!$I46="",INDEX([7]第３表!$F$10:$Q$66,MATCH([7]設定!$D46,[7]第３表!$C$10:$C$66,0),10),[7]設定!$I46))</f>
        <v>160.80000000000001</v>
      </c>
      <c r="O70" s="52">
        <f>IF($D70="","",IF([7]設定!$I46="",INDEX([7]第３表!$F$10:$Q$66,MATCH([7]設定!$D46,[7]第３表!$C$10:$C$66,0),11),[7]設定!$I46))</f>
        <v>152.4</v>
      </c>
      <c r="P70" s="55">
        <f>IF($D70="","",IF([7]設定!$I46="",INDEX([7]第３表!$F$10:$Q$66,MATCH([7]設定!$D46,[7]第３表!$C$10:$C$66,0),12),[7]設定!$I46))</f>
        <v>8.4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IF($D71="","",IF([7]設定!$I47="",INDEX([7]第３表!$F$10:$Q$66,MATCH([7]設定!$D47,[7]第３表!$C$10:$C$66,0),1),[7]設定!$I47))</f>
        <v>19.7</v>
      </c>
      <c r="F71" s="52">
        <f>IF($D71="","",IF([7]設定!$I47="",INDEX([7]第３表!$F$10:$Q$66,MATCH([7]設定!$D47,[7]第３表!$C$10:$C$66,0),2),[7]設定!$I47))</f>
        <v>153.5</v>
      </c>
      <c r="G71" s="52">
        <f>IF($D71="","",IF([7]設定!$I47="",INDEX([7]第３表!$F$10:$Q$66,MATCH([7]設定!$D47,[7]第３表!$C$10:$C$66,0),3),[7]設定!$I47))</f>
        <v>147.19999999999999</v>
      </c>
      <c r="H71" s="55">
        <f>IF($D71="","",IF([7]設定!$I47="",INDEX([7]第３表!$F$10:$Q$66,MATCH([7]設定!$D47,[7]第３表!$C$10:$C$66,0),4),[7]設定!$I47))</f>
        <v>6.3</v>
      </c>
      <c r="I71" s="52">
        <f>IF($D71="","",IF([7]設定!$I47="",INDEX([7]第３表!$F$10:$Q$66,MATCH([7]設定!$D47,[7]第３表!$C$10:$C$66,0),5),[7]設定!$I47))</f>
        <v>19.899999999999999</v>
      </c>
      <c r="J71" s="52">
        <f>IF($D71="","",IF([7]設定!$I47="",INDEX([7]第３表!$F$10:$Q$66,MATCH([7]設定!$D47,[7]第３表!$C$10:$C$66,0),6),[7]設定!$I47))</f>
        <v>160.19999999999999</v>
      </c>
      <c r="K71" s="52">
        <f>IF($D71="","",IF([7]設定!$I47="",INDEX([7]第３表!$F$10:$Q$66,MATCH([7]設定!$D47,[7]第３表!$C$10:$C$66,0),7),[7]設定!$I47))</f>
        <v>152.5</v>
      </c>
      <c r="L71" s="55">
        <f>IF($D71="","",IF([7]設定!$I47="",INDEX([7]第３表!$F$10:$Q$66,MATCH([7]設定!$D47,[7]第３表!$C$10:$C$66,0),8),[7]設定!$I47))</f>
        <v>7.7</v>
      </c>
      <c r="M71" s="52">
        <f>IF($D71="","",IF([7]設定!$I47="",INDEX([7]第３表!$F$10:$Q$66,MATCH([7]設定!$D47,[7]第３表!$C$10:$C$66,0),9),[7]設定!$I47))</f>
        <v>18.899999999999999</v>
      </c>
      <c r="N71" s="52">
        <f>IF($D71="","",IF([7]設定!$I47="",INDEX([7]第３表!$F$10:$Q$66,MATCH([7]設定!$D47,[7]第３表!$C$10:$C$66,0),10),[7]設定!$I47))</f>
        <v>131.19999999999999</v>
      </c>
      <c r="O71" s="52">
        <f>IF($D71="","",IF([7]設定!$I47="",INDEX([7]第３表!$F$10:$Q$66,MATCH([7]設定!$D47,[7]第３表!$C$10:$C$66,0),11),[7]設定!$I47))</f>
        <v>129.69999999999999</v>
      </c>
      <c r="P71" s="55">
        <f>IF($D71="","",IF([7]設定!$I47="",INDEX([7]第３表!$F$10:$Q$66,MATCH([7]設定!$D47,[7]第３表!$C$10:$C$66,0),12),[7]設定!$I47))</f>
        <v>1.5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IF($D72="","",IF([7]設定!$I48="",INDEX([7]第３表!$F$10:$Q$66,MATCH([7]設定!$D48,[7]第３表!$C$10:$C$66,0),1),[7]設定!$I48))</f>
        <v>22</v>
      </c>
      <c r="F72" s="55">
        <f>IF($D72="","",IF([7]設定!$I48="",INDEX([7]第３表!$F$10:$Q$66,MATCH([7]設定!$D48,[7]第３表!$C$10:$C$66,0),2),[7]設定!$I48))</f>
        <v>183.7</v>
      </c>
      <c r="G72" s="55">
        <f>IF($D72="","",IF([7]設定!$I48="",INDEX([7]第３表!$F$10:$Q$66,MATCH([7]設定!$D48,[7]第３表!$C$10:$C$66,0),3),[7]設定!$I48))</f>
        <v>167.5</v>
      </c>
      <c r="H72" s="55">
        <f>IF($D72="","",IF([7]設定!$I48="",INDEX([7]第３表!$F$10:$Q$66,MATCH([7]設定!$D48,[7]第３表!$C$10:$C$66,0),4),[7]設定!$I48))</f>
        <v>16.2</v>
      </c>
      <c r="I72" s="55">
        <f>IF($D72="","",IF([7]設定!$I48="",INDEX([7]第３表!$F$10:$Q$66,MATCH([7]設定!$D48,[7]第３表!$C$10:$C$66,0),5),[7]設定!$I48))</f>
        <v>21.7</v>
      </c>
      <c r="J72" s="55">
        <f>IF($D72="","",IF([7]設定!$I48="",INDEX([7]第３表!$F$10:$Q$66,MATCH([7]設定!$D48,[7]第３表!$C$10:$C$66,0),6),[7]設定!$I48))</f>
        <v>183.3</v>
      </c>
      <c r="K72" s="55">
        <f>IF($D72="","",IF([7]設定!$I48="",INDEX([7]第３表!$F$10:$Q$66,MATCH([7]設定!$D48,[7]第３表!$C$10:$C$66,0),7),[7]設定!$I48))</f>
        <v>165.6</v>
      </c>
      <c r="L72" s="55">
        <f>IF($D72="","",IF([7]設定!$I48="",INDEX([7]第３表!$F$10:$Q$66,MATCH([7]設定!$D48,[7]第３表!$C$10:$C$66,0),8),[7]設定!$I48))</f>
        <v>17.7</v>
      </c>
      <c r="M72" s="55">
        <f>IF($D72="","",IF([7]設定!$I48="",INDEX([7]第３表!$F$10:$Q$66,MATCH([7]設定!$D48,[7]第３表!$C$10:$C$66,0),9),[7]設定!$I48))</f>
        <v>23.6</v>
      </c>
      <c r="N72" s="55">
        <f>IF($D72="","",IF([7]設定!$I48="",INDEX([7]第３表!$F$10:$Q$66,MATCH([7]設定!$D48,[7]第３表!$C$10:$C$66,0),10),[7]設定!$I48))</f>
        <v>185.9</v>
      </c>
      <c r="O72" s="55">
        <f>IF($D72="","",IF([7]設定!$I48="",INDEX([7]第３表!$F$10:$Q$66,MATCH([7]設定!$D48,[7]第３表!$C$10:$C$66,0),11),[7]設定!$I48))</f>
        <v>177.1</v>
      </c>
      <c r="P72" s="55">
        <f>IF($D72="","",IF([7]設定!$I48="",INDEX([7]第３表!$F$10:$Q$66,MATCH([7]設定!$D48,[7]第３表!$C$10:$C$66,0),12),[7]設定!$I48))</f>
        <v>8.8000000000000007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IF($D73="","",IF([7]設定!$I49="",INDEX([7]第３表!$F$10:$Q$66,MATCH([7]設定!$D49,[7]第３表!$C$10:$C$66,0),1),[7]設定!$I49))</f>
        <v>19.899999999999999</v>
      </c>
      <c r="F73" s="55">
        <f>IF($D73="","",IF([7]設定!$I49="",INDEX([7]第３表!$F$10:$Q$66,MATCH([7]設定!$D49,[7]第３表!$C$10:$C$66,0),2),[7]設定!$I49))</f>
        <v>164.9</v>
      </c>
      <c r="G73" s="55">
        <f>IF($D73="","",IF([7]設定!$I49="",INDEX([7]第３表!$F$10:$Q$66,MATCH([7]設定!$D49,[7]第３表!$C$10:$C$66,0),3),[7]設定!$I49))</f>
        <v>156.1</v>
      </c>
      <c r="H73" s="55">
        <f>IF($D73="","",IF([7]設定!$I49="",INDEX([7]第３表!$F$10:$Q$66,MATCH([7]設定!$D49,[7]第３表!$C$10:$C$66,0),4),[7]設定!$I49))</f>
        <v>8.8000000000000007</v>
      </c>
      <c r="I73" s="55">
        <f>IF($D73="","",IF([7]設定!$I49="",INDEX([7]第３表!$F$10:$Q$66,MATCH([7]設定!$D49,[7]第３表!$C$10:$C$66,0),5),[7]設定!$I49))</f>
        <v>20.5</v>
      </c>
      <c r="J73" s="55">
        <f>IF($D73="","",IF([7]設定!$I49="",INDEX([7]第３表!$F$10:$Q$66,MATCH([7]設定!$D49,[7]第３表!$C$10:$C$66,0),6),[7]設定!$I49))</f>
        <v>171.5</v>
      </c>
      <c r="K73" s="55">
        <f>IF($D73="","",IF([7]設定!$I49="",INDEX([7]第３表!$F$10:$Q$66,MATCH([7]設定!$D49,[7]第３表!$C$10:$C$66,0),7),[7]設定!$I49))</f>
        <v>160</v>
      </c>
      <c r="L73" s="55">
        <f>IF($D73="","",IF([7]設定!$I49="",INDEX([7]第３表!$F$10:$Q$66,MATCH([7]設定!$D49,[7]第３表!$C$10:$C$66,0),8),[7]設定!$I49))</f>
        <v>11.5</v>
      </c>
      <c r="M73" s="55">
        <f>IF($D73="","",IF([7]設定!$I49="",INDEX([7]第３表!$F$10:$Q$66,MATCH([7]設定!$D49,[7]第３表!$C$10:$C$66,0),9),[7]設定!$I49))</f>
        <v>19.3</v>
      </c>
      <c r="N73" s="55">
        <f>IF($D73="","",IF([7]設定!$I49="",INDEX([7]第３表!$F$10:$Q$66,MATCH([7]設定!$D49,[7]第３表!$C$10:$C$66,0),10),[7]設定!$I49))</f>
        <v>158.9</v>
      </c>
      <c r="O73" s="55">
        <f>IF($D73="","",IF([7]設定!$I49="",INDEX([7]第３表!$F$10:$Q$66,MATCH([7]設定!$D49,[7]第３表!$C$10:$C$66,0),11),[7]設定!$I49))</f>
        <v>152.5</v>
      </c>
      <c r="P73" s="55">
        <f>IF($D73="","",IF([7]設定!$I49="",INDEX([7]第３表!$F$10:$Q$66,MATCH([7]設定!$D49,[7]第３表!$C$10:$C$66,0),12),[7]設定!$I49))</f>
        <v>6.4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IF($D74="","",IF([7]設定!$I50="",INDEX([7]第３表!$F$10:$Q$66,MATCH([7]設定!$D50,[7]第３表!$C$10:$C$66,0),1),[7]設定!$I50))</f>
        <v>18.399999999999999</v>
      </c>
      <c r="F74" s="55">
        <f>IF($D74="","",IF([7]設定!$I50="",INDEX([7]第３表!$F$10:$Q$66,MATCH([7]設定!$D50,[7]第３表!$C$10:$C$66,0),2),[7]設定!$I50))</f>
        <v>158</v>
      </c>
      <c r="G74" s="55">
        <f>IF($D74="","",IF([7]設定!$I50="",INDEX([7]第３表!$F$10:$Q$66,MATCH([7]設定!$D50,[7]第３表!$C$10:$C$66,0),3),[7]設定!$I50))</f>
        <v>146.19999999999999</v>
      </c>
      <c r="H74" s="55">
        <f>IF($D74="","",IF([7]設定!$I50="",INDEX([7]第３表!$F$10:$Q$66,MATCH([7]設定!$D50,[7]第３表!$C$10:$C$66,0),4),[7]設定!$I50))</f>
        <v>11.8</v>
      </c>
      <c r="I74" s="55">
        <f>IF($D74="","",IF([7]設定!$I50="",INDEX([7]第３表!$F$10:$Q$66,MATCH([7]設定!$D50,[7]第３表!$C$10:$C$66,0),5),[7]設定!$I50))</f>
        <v>18.600000000000001</v>
      </c>
      <c r="J74" s="55">
        <f>IF($D74="","",IF([7]設定!$I50="",INDEX([7]第３表!$F$10:$Q$66,MATCH([7]設定!$D50,[7]第３表!$C$10:$C$66,0),6),[7]設定!$I50))</f>
        <v>165.2</v>
      </c>
      <c r="K74" s="55">
        <f>IF($D74="","",IF([7]設定!$I50="",INDEX([7]第３表!$F$10:$Q$66,MATCH([7]設定!$D50,[7]第３表!$C$10:$C$66,0),7),[7]設定!$I50))</f>
        <v>150.1</v>
      </c>
      <c r="L74" s="55">
        <f>IF($D74="","",IF([7]設定!$I50="",INDEX([7]第３表!$F$10:$Q$66,MATCH([7]設定!$D50,[7]第３表!$C$10:$C$66,0),8),[7]設定!$I50))</f>
        <v>15.1</v>
      </c>
      <c r="M74" s="55">
        <f>IF($D74="","",IF([7]設定!$I50="",INDEX([7]第３表!$F$10:$Q$66,MATCH([7]設定!$D50,[7]第３表!$C$10:$C$66,0),9),[7]設定!$I50))</f>
        <v>18</v>
      </c>
      <c r="N74" s="55">
        <f>IF($D74="","",IF([7]設定!$I50="",INDEX([7]第３表!$F$10:$Q$66,MATCH([7]設定!$D50,[7]第３表!$C$10:$C$66,0),10),[7]設定!$I50))</f>
        <v>144.1</v>
      </c>
      <c r="O74" s="55">
        <f>IF($D74="","",IF([7]設定!$I50="",INDEX([7]第３表!$F$10:$Q$66,MATCH([7]設定!$D50,[7]第３表!$C$10:$C$66,0),11),[7]設定!$I50))</f>
        <v>138.6</v>
      </c>
      <c r="P74" s="55">
        <f>IF($D74="","",IF([7]設定!$I50="",INDEX([7]第３表!$F$10:$Q$66,MATCH([7]設定!$D50,[7]第３表!$C$10:$C$66,0),12),[7]設定!$I50))</f>
        <v>5.5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IF($D75="","",IF([7]設定!$I51="",INDEX([7]第３表!$F$10:$Q$66,MATCH([7]設定!$D51,[7]第３表!$C$10:$C$66,0),1),[7]設定!$I51))</f>
        <v>21.2</v>
      </c>
      <c r="F75" s="55">
        <f>IF($D75="","",IF([7]設定!$I51="",INDEX([7]第３表!$F$10:$Q$66,MATCH([7]設定!$D51,[7]第３表!$C$10:$C$66,0),2),[7]設定!$I51))</f>
        <v>172.3</v>
      </c>
      <c r="G75" s="55">
        <f>IF($D75="","",IF([7]設定!$I51="",INDEX([7]第３表!$F$10:$Q$66,MATCH([7]設定!$D51,[7]第３表!$C$10:$C$66,0),3),[7]設定!$I51))</f>
        <v>162.6</v>
      </c>
      <c r="H75" s="55">
        <f>IF($D75="","",IF([7]設定!$I51="",INDEX([7]第３表!$F$10:$Q$66,MATCH([7]設定!$D51,[7]第３表!$C$10:$C$66,0),4),[7]設定!$I51))</f>
        <v>9.6999999999999993</v>
      </c>
      <c r="I75" s="55">
        <f>IF($D75="","",IF([7]設定!$I51="",INDEX([7]第３表!$F$10:$Q$66,MATCH([7]設定!$D51,[7]第３表!$C$10:$C$66,0),5),[7]設定!$I51))</f>
        <v>21.7</v>
      </c>
      <c r="J75" s="55">
        <f>IF($D75="","",IF([7]設定!$I51="",INDEX([7]第３表!$F$10:$Q$66,MATCH([7]設定!$D51,[7]第３表!$C$10:$C$66,0),6),[7]設定!$I51))</f>
        <v>180.1</v>
      </c>
      <c r="K75" s="55">
        <f>IF($D75="","",IF([7]設定!$I51="",INDEX([7]第３表!$F$10:$Q$66,MATCH([7]設定!$D51,[7]第３表!$C$10:$C$66,0),7),[7]設定!$I51))</f>
        <v>167.1</v>
      </c>
      <c r="L75" s="55">
        <f>IF($D75="","",IF([7]設定!$I51="",INDEX([7]第３表!$F$10:$Q$66,MATCH([7]設定!$D51,[7]第３表!$C$10:$C$66,0),8),[7]設定!$I51))</f>
        <v>13</v>
      </c>
      <c r="M75" s="55">
        <f>IF($D75="","",IF([7]設定!$I51="",INDEX([7]第３表!$F$10:$Q$66,MATCH([7]設定!$D51,[7]第３表!$C$10:$C$66,0),9),[7]設定!$I51))</f>
        <v>20.2</v>
      </c>
      <c r="N75" s="55">
        <f>IF($D75="","",IF([7]設定!$I51="",INDEX([7]第３表!$F$10:$Q$66,MATCH([7]設定!$D51,[7]第３表!$C$10:$C$66,0),10),[7]設定!$I51))</f>
        <v>156.19999999999999</v>
      </c>
      <c r="O75" s="55">
        <f>IF($D75="","",IF([7]設定!$I51="",INDEX([7]第３表!$F$10:$Q$66,MATCH([7]設定!$D51,[7]第３表!$C$10:$C$66,0),11),[7]設定!$I51))</f>
        <v>153.30000000000001</v>
      </c>
      <c r="P75" s="55">
        <f>IF($D75="","",IF([7]設定!$I51="",INDEX([7]第３表!$F$10:$Q$66,MATCH([7]設定!$D51,[7]第３表!$C$10:$C$66,0),12),[7]設定!$I51))</f>
        <v>2.9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IF($D76="","",IF([7]設定!$I52="",INDEX([7]第３表!$F$10:$Q$66,MATCH([7]設定!$D52,[7]第３表!$C$10:$C$66,0),1),[7]設定!$I52))</f>
        <v>18.600000000000001</v>
      </c>
      <c r="F76" s="55">
        <f>IF($D76="","",IF([7]設定!$I52="",INDEX([7]第３表!$F$10:$Q$66,MATCH([7]設定!$D52,[7]第３表!$C$10:$C$66,0),2),[7]設定!$I52))</f>
        <v>173.9</v>
      </c>
      <c r="G76" s="55">
        <f>IF($D76="","",IF([7]設定!$I52="",INDEX([7]第３表!$F$10:$Q$66,MATCH([7]設定!$D52,[7]第３表!$C$10:$C$66,0),3),[7]設定!$I52))</f>
        <v>150.5</v>
      </c>
      <c r="H76" s="55">
        <f>IF($D76="","",IF([7]設定!$I52="",INDEX([7]第３表!$F$10:$Q$66,MATCH([7]設定!$D52,[7]第３表!$C$10:$C$66,0),4),[7]設定!$I52))</f>
        <v>23.4</v>
      </c>
      <c r="I76" s="55">
        <f>IF($D76="","",IF([7]設定!$I52="",INDEX([7]第３表!$F$10:$Q$66,MATCH([7]設定!$D52,[7]第３表!$C$10:$C$66,0),5),[7]設定!$I52))</f>
        <v>18.7</v>
      </c>
      <c r="J76" s="55">
        <f>IF($D76="","",IF([7]設定!$I52="",INDEX([7]第３表!$F$10:$Q$66,MATCH([7]設定!$D52,[7]第３表!$C$10:$C$66,0),6),[7]設定!$I52))</f>
        <v>177.8</v>
      </c>
      <c r="K76" s="55">
        <f>IF($D76="","",IF([7]設定!$I52="",INDEX([7]第３表!$F$10:$Q$66,MATCH([7]設定!$D52,[7]第３表!$C$10:$C$66,0),7),[7]設定!$I52))</f>
        <v>152.4</v>
      </c>
      <c r="L76" s="55">
        <f>IF($D76="","",IF([7]設定!$I52="",INDEX([7]第３表!$F$10:$Q$66,MATCH([7]設定!$D52,[7]第３表!$C$10:$C$66,0),8),[7]設定!$I52))</f>
        <v>25.4</v>
      </c>
      <c r="M76" s="55">
        <f>IF($D76="","",IF([7]設定!$I52="",INDEX([7]第３表!$F$10:$Q$66,MATCH([7]設定!$D52,[7]第３表!$C$10:$C$66,0),9),[7]設定!$I52))</f>
        <v>18.3</v>
      </c>
      <c r="N76" s="55">
        <f>IF($D76="","",IF([7]設定!$I52="",INDEX([7]第３表!$F$10:$Q$66,MATCH([7]設定!$D52,[7]第３表!$C$10:$C$66,0),10),[7]設定!$I52))</f>
        <v>157.30000000000001</v>
      </c>
      <c r="O76" s="55">
        <f>IF($D76="","",IF([7]設定!$I52="",INDEX([7]第３表!$F$10:$Q$66,MATCH([7]設定!$D52,[7]第３表!$C$10:$C$66,0),11),[7]設定!$I52))</f>
        <v>142.4</v>
      </c>
      <c r="P76" s="55">
        <f>IF($D76="","",IF([7]設定!$I52="",INDEX([7]第３表!$F$10:$Q$66,MATCH([7]設定!$D52,[7]第３表!$C$10:$C$66,0),12),[7]設定!$I52))</f>
        <v>14.9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IF($D77="","",IF([7]設定!$I53="",INDEX([7]第３表!$F$10:$Q$66,MATCH([7]設定!$D53,[7]第３表!$C$10:$C$66,0),1),[7]設定!$I53))</f>
        <v>20.100000000000001</v>
      </c>
      <c r="F77" s="69">
        <f>IF($D77="","",IF([7]設定!$I53="",INDEX([7]第３表!$F$10:$Q$66,MATCH([7]設定!$D53,[7]第３表!$C$10:$C$66,0),2),[7]設定!$I53))</f>
        <v>177</v>
      </c>
      <c r="G77" s="69">
        <f>IF($D77="","",IF([7]設定!$I53="",INDEX([7]第３表!$F$10:$Q$66,MATCH([7]設定!$D53,[7]第３表!$C$10:$C$66,0),3),[7]設定!$I53))</f>
        <v>162.1</v>
      </c>
      <c r="H77" s="69">
        <f>IF($D77="","",IF([7]設定!$I53="",INDEX([7]第３表!$F$10:$Q$66,MATCH([7]設定!$D53,[7]第３表!$C$10:$C$66,0),4),[7]設定!$I53))</f>
        <v>14.9</v>
      </c>
      <c r="I77" s="69">
        <f>IF($D77="","",IF([7]設定!$I53="",INDEX([7]第３表!$F$10:$Q$66,MATCH([7]設定!$D53,[7]第３表!$C$10:$C$66,0),5),[7]設定!$I53))</f>
        <v>20.3</v>
      </c>
      <c r="J77" s="69">
        <f>IF($D77="","",IF([7]設定!$I53="",INDEX([7]第３表!$F$10:$Q$66,MATCH([7]設定!$D53,[7]第３表!$C$10:$C$66,0),6),[7]設定!$I53))</f>
        <v>177.7</v>
      </c>
      <c r="K77" s="69">
        <f>IF($D77="","",IF([7]設定!$I53="",INDEX([7]第３表!$F$10:$Q$66,MATCH([7]設定!$D53,[7]第３表!$C$10:$C$66,0),7),[7]設定!$I53))</f>
        <v>162.5</v>
      </c>
      <c r="L77" s="69">
        <f>IF($D77="","",IF([7]設定!$I53="",INDEX([7]第３表!$F$10:$Q$66,MATCH([7]設定!$D53,[7]第３表!$C$10:$C$66,0),8),[7]設定!$I53))</f>
        <v>15.2</v>
      </c>
      <c r="M77" s="69">
        <f>IF($D77="","",IF([7]設定!$I53="",INDEX([7]第３表!$F$10:$Q$66,MATCH([7]設定!$D53,[7]第３表!$C$10:$C$66,0),9),[7]設定!$I53))</f>
        <v>19.7</v>
      </c>
      <c r="N77" s="69">
        <f>IF($D77="","",IF([7]設定!$I53="",INDEX([7]第３表!$F$10:$Q$66,MATCH([7]設定!$D53,[7]第３表!$C$10:$C$66,0),10),[7]設定!$I53))</f>
        <v>174.6</v>
      </c>
      <c r="O77" s="69">
        <f>IF($D77="","",IF([7]設定!$I53="",INDEX([7]第３表!$F$10:$Q$66,MATCH([7]設定!$D53,[7]第３表!$C$10:$C$66,0),11),[7]設定!$I53))</f>
        <v>160.69999999999999</v>
      </c>
      <c r="P77" s="69">
        <f>IF($D77="","",IF([7]設定!$I53="",INDEX([7]第３表!$F$10:$Q$66,MATCH([7]設定!$D53,[7]第３表!$C$10:$C$66,0),12),[7]設定!$I53))</f>
        <v>13.9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IF($D78="","",IF([7]設定!$I54="",INDEX([7]第３表!$F$10:$Q$66,MATCH([7]設定!$D54,[7]第３表!$C$10:$C$66,0),1),[7]設定!$I54))</f>
        <v>18.399999999999999</v>
      </c>
      <c r="F78" s="73">
        <f>IF($D78="","",IF([7]設定!$I54="",INDEX([7]第３表!$F$10:$Q$66,MATCH([7]設定!$D54,[7]第３表!$C$10:$C$66,0),2),[7]設定!$I54))</f>
        <v>150.1</v>
      </c>
      <c r="G78" s="73">
        <f>IF($D78="","",IF([7]設定!$I54="",INDEX([7]第３表!$F$10:$Q$66,MATCH([7]設定!$D54,[7]第３表!$C$10:$C$66,0),3),[7]設定!$I54))</f>
        <v>142.1</v>
      </c>
      <c r="H78" s="73">
        <f>IF($D78="","",IF([7]設定!$I54="",INDEX([7]第３表!$F$10:$Q$66,MATCH([7]設定!$D54,[7]第３表!$C$10:$C$66,0),4),[7]設定!$I54))</f>
        <v>8</v>
      </c>
      <c r="I78" s="73">
        <f>IF($D78="","",IF([7]設定!$I54="",INDEX([7]第３表!$F$10:$Q$66,MATCH([7]設定!$D54,[7]第３表!$C$10:$C$66,0),5),[7]設定!$I54))</f>
        <v>18.7</v>
      </c>
      <c r="J78" s="73">
        <f>IF($D78="","",IF([7]設定!$I54="",INDEX([7]第３表!$F$10:$Q$66,MATCH([7]設定!$D54,[7]第３表!$C$10:$C$66,0),6),[7]設定!$I54))</f>
        <v>164.9</v>
      </c>
      <c r="K78" s="73">
        <f>IF($D78="","",IF([7]設定!$I54="",INDEX([7]第３表!$F$10:$Q$66,MATCH([7]設定!$D54,[7]第３表!$C$10:$C$66,0),7),[7]設定!$I54))</f>
        <v>152.4</v>
      </c>
      <c r="L78" s="73">
        <f>IF($D78="","",IF([7]設定!$I54="",INDEX([7]第３表!$F$10:$Q$66,MATCH([7]設定!$D54,[7]第３表!$C$10:$C$66,0),8),[7]設定!$I54))</f>
        <v>12.5</v>
      </c>
      <c r="M78" s="73">
        <f>IF($D78="","",IF([7]設定!$I54="",INDEX([7]第３表!$F$10:$Q$66,MATCH([7]設定!$D54,[7]第３表!$C$10:$C$66,0),9),[7]設定!$I54))</f>
        <v>18.100000000000001</v>
      </c>
      <c r="N78" s="73">
        <f>IF($D78="","",IF([7]設定!$I54="",INDEX([7]第３表!$F$10:$Q$66,MATCH([7]設定!$D54,[7]第３表!$C$10:$C$66,0),10),[7]設定!$I54))</f>
        <v>138.80000000000001</v>
      </c>
      <c r="O78" s="73">
        <f>IF($D78="","",IF([7]設定!$I54="",INDEX([7]第３表!$F$10:$Q$66,MATCH([7]設定!$D54,[7]第３表!$C$10:$C$66,0),11),[7]設定!$I54))</f>
        <v>134.30000000000001</v>
      </c>
      <c r="P78" s="73">
        <f>IF($D78="","",IF([7]設定!$I54="",INDEX([7]第３表!$F$10:$Q$66,MATCH([7]設定!$D54,[7]第３表!$C$10:$C$66,0),12),[7]設定!$I54))</f>
        <v>4.5</v>
      </c>
    </row>
  </sheetData>
  <phoneticPr fontId="2"/>
  <printOptions horizontalCentered="1"/>
  <pageMargins left="0.59055118110236227" right="0.59055118110236227" top="0.35433070866141736" bottom="0.59055118110236227" header="0" footer="0.59055118110236227"/>
  <pageSetup paperSize="9" scale="59" orientation="portrait" blackAndWhite="1" cellComments="atEnd" horizontalDpi="300" verticalDpi="300" r:id="rId1"/>
  <headerFooter scaleWithDoc="0" alignWithMargins="0">
    <oddFooter>&amp;C- 15 -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D78E-AC62-4648-AAF7-9F1C1834F5FF}">
  <sheetPr codeName="Sheet4"/>
  <dimension ref="A1:R78"/>
  <sheetViews>
    <sheetView showGridLines="0" view="pageBreakPreview" topLeftCell="A57" zoomScale="80" zoomScaleNormal="80" zoomScaleSheetLayoutView="80" workbookViewId="0">
      <selection activeCell="G83" sqref="G83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2.79687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（"&amp;[9]設定!D8&amp;DBCS([9]設定!E8)&amp;"年"&amp;DBCS([9]設定!F8)&amp;"月）"</f>
        <v>　　    （令和５年５月）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+[10]第５表!B9</f>
        <v>TL</v>
      </c>
      <c r="C9" s="46"/>
      <c r="D9" s="47" t="str">
        <f>+[10]第５表!D9</f>
        <v>調査産業計</v>
      </c>
      <c r="E9" s="48">
        <f>IF($D9="","",IF([9]設定!$H23="",INDEX([9]第３表!$F$80:$Q$136,MATCH([9]設定!$D23,[9]第３表!$C$80:$C$136,0),1),[9]設定!$H23))</f>
        <v>18.2</v>
      </c>
      <c r="F9" s="48">
        <f>IF($D9="","",IF([9]設定!$H23="",INDEX([9]第３表!$F$80:$Q$136,MATCH([9]設定!$D23,[9]第３表!$C$80:$C$136,0),2),[9]設定!$H23))</f>
        <v>139.5</v>
      </c>
      <c r="G9" s="48">
        <f>IF($D9="","",IF([9]設定!$H23="",INDEX([9]第３表!$F$80:$Q$136,MATCH([9]設定!$D23,[9]第３表!$C$80:$C$136,0),3),[9]設定!$H23))</f>
        <v>130.1</v>
      </c>
      <c r="H9" s="48">
        <f>IF($D9="","",IF([9]設定!$H23="",INDEX([9]第３表!$F$80:$Q$136,MATCH([9]設定!$D23,[9]第３表!$C$80:$C$136,0),4),[9]設定!$H23))</f>
        <v>9.4</v>
      </c>
      <c r="I9" s="48">
        <f>IF($D9="","",IF([9]設定!$H23="",INDEX([9]第３表!$F$80:$Q$136,MATCH([9]設定!$D23,[9]第３表!$C$80:$C$136,0),5),[9]設定!$H23))</f>
        <v>18.600000000000001</v>
      </c>
      <c r="J9" s="48">
        <f>IF($D9="","",IF([9]設定!$H23="",INDEX([9]第３表!$F$80:$Q$136,MATCH([9]設定!$D23,[9]第３表!$C$80:$C$136,0),6),[9]設定!$H23))</f>
        <v>152.69999999999999</v>
      </c>
      <c r="K9" s="48">
        <f>IF($D9="","",IF([9]設定!$H23="",INDEX([9]第３表!$F$80:$Q$136,MATCH([9]設定!$D23,[9]第３表!$C$80:$C$136,0),7),[9]設定!$H23))</f>
        <v>138.80000000000001</v>
      </c>
      <c r="L9" s="48">
        <f>IF($D9="","",IF([9]設定!$H23="",INDEX([9]第３表!$F$80:$Q$136,MATCH([9]設定!$D23,[9]第３表!$C$80:$C$136,0),8),[9]設定!$H23))</f>
        <v>13.9</v>
      </c>
      <c r="M9" s="48">
        <f>IF($D9="","",IF([9]設定!$H23="",INDEX([9]第３表!$F$80:$Q$136,MATCH([9]設定!$D23,[9]第３表!$C$80:$C$136,0),9),[9]設定!$H23))</f>
        <v>17.8</v>
      </c>
      <c r="N9" s="48">
        <f>IF($D9="","",IF([9]設定!$H23="",INDEX([9]第３表!$F$80:$Q$136,MATCH([9]設定!$D23,[9]第３表!$C$80:$C$136,0),10),[9]設定!$H23))</f>
        <v>126.7</v>
      </c>
      <c r="O9" s="48">
        <f>IF($D9="","",IF([9]設定!$H23="",INDEX([9]第３表!$F$80:$Q$136,MATCH([9]設定!$D23,[9]第３表!$C$80:$C$136,0),11),[9]設定!$H23))</f>
        <v>121.7</v>
      </c>
      <c r="P9" s="48">
        <f>IF($D9="","",IF([9]設定!$H23="",INDEX([9]第３表!$F$80:$Q$136,MATCH([9]設定!$D23,[9]第３表!$C$80:$C$136,0),12),[9]設定!$H23))</f>
        <v>5</v>
      </c>
    </row>
    <row r="10" spans="1:18" s="8" customFormat="1" ht="17.25" customHeight="1" x14ac:dyDescent="0.45">
      <c r="B10" s="49" t="str">
        <f>+[10]第５表!B10</f>
        <v>D</v>
      </c>
      <c r="C10" s="50"/>
      <c r="D10" s="51" t="str">
        <f>+[10]第５表!D10</f>
        <v>建設業</v>
      </c>
      <c r="E10" s="52">
        <f>IF($D10="","",IF([9]設定!$H24="",INDEX([9]第３表!$F$80:$Q$136,MATCH([9]設定!$D24,[9]第３表!$C$80:$C$136,0),1),[9]設定!$H24))</f>
        <v>19.2</v>
      </c>
      <c r="F10" s="52">
        <f>IF($D10="","",IF([9]設定!$H24="",INDEX([9]第３表!$F$80:$Q$136,MATCH([9]設定!$D24,[9]第３表!$C$80:$C$136,0),2),[9]設定!$H24))</f>
        <v>146.80000000000001</v>
      </c>
      <c r="G10" s="52">
        <f>IF($D10="","",IF([9]設定!$H24="",INDEX([9]第３表!$F$80:$Q$136,MATCH([9]設定!$D24,[9]第３表!$C$80:$C$136,0),3),[9]設定!$H24))</f>
        <v>141.5</v>
      </c>
      <c r="H10" s="53">
        <f>IF($D10="","",IF([9]設定!$H24="",INDEX([9]第３表!$F$80:$Q$136,MATCH([9]設定!$D24,[9]第３表!$C$80:$C$136,0),4),[9]設定!$H24))</f>
        <v>5.3</v>
      </c>
      <c r="I10" s="54">
        <f>IF($D10="","",IF([9]設定!$H24="",INDEX([9]第３表!$F$80:$Q$136,MATCH([9]設定!$D24,[9]第３表!$C$80:$C$136,0),5),[9]設定!$H24))</f>
        <v>19.3</v>
      </c>
      <c r="J10" s="54">
        <f>IF($D10="","",IF([9]設定!$H24="",INDEX([9]第３表!$F$80:$Q$136,MATCH([9]設定!$D24,[9]第３表!$C$80:$C$136,0),6),[9]設定!$H24))</f>
        <v>148.5</v>
      </c>
      <c r="K10" s="54">
        <f>IF($D10="","",IF([9]設定!$H24="",INDEX([9]第３表!$F$80:$Q$136,MATCH([9]設定!$D24,[9]第３表!$C$80:$C$136,0),7),[9]設定!$H24))</f>
        <v>142.6</v>
      </c>
      <c r="L10" s="55">
        <f>IF($D10="","",IF([9]設定!$H24="",INDEX([9]第３表!$F$80:$Q$136,MATCH([9]設定!$D24,[9]第３表!$C$80:$C$136,0),8),[9]設定!$H24))</f>
        <v>5.9</v>
      </c>
      <c r="M10" s="56">
        <f>IF($D10="","",IF([9]設定!$H24="",INDEX([9]第３表!$F$80:$Q$136,MATCH([9]設定!$D24,[9]第３表!$C$80:$C$136,0),9),[9]設定!$H24))</f>
        <v>18.7</v>
      </c>
      <c r="N10" s="56">
        <f>IF($D10="","",IF([9]設定!$H24="",INDEX([9]第３表!$F$80:$Q$136,MATCH([9]設定!$D24,[9]第３表!$C$80:$C$136,0),10),[9]設定!$H24))</f>
        <v>137.9</v>
      </c>
      <c r="O10" s="56">
        <f>IF($D10="","",IF([9]設定!$H24="",INDEX([9]第３表!$F$80:$Q$136,MATCH([9]設定!$D24,[9]第３表!$C$80:$C$136,0),11),[9]設定!$H24))</f>
        <v>135.6</v>
      </c>
      <c r="P10" s="57">
        <f>IF($D10="","",IF([9]設定!$H24="",INDEX([9]第３表!$F$80:$Q$136,MATCH([9]設定!$D24,[9]第３表!$C$80:$C$136,0),12),[9]設定!$H24))</f>
        <v>2.2999999999999998</v>
      </c>
    </row>
    <row r="11" spans="1:18" s="8" customFormat="1" ht="17.25" customHeight="1" x14ac:dyDescent="0.45">
      <c r="B11" s="49" t="str">
        <f>+[10]第５表!B11</f>
        <v>E</v>
      </c>
      <c r="C11" s="50"/>
      <c r="D11" s="51" t="str">
        <f>+[10]第５表!D11</f>
        <v>製造業</v>
      </c>
      <c r="E11" s="52">
        <f>IF($D11="","",IF([9]設定!$H25="",INDEX([9]第３表!$F$80:$Q$136,MATCH([9]設定!$D25,[9]第３表!$C$80:$C$136,0),1),[9]設定!$H25))</f>
        <v>18.100000000000001</v>
      </c>
      <c r="F11" s="52">
        <f>IF($D11="","",IF([9]設定!$H25="",INDEX([9]第３表!$F$80:$Q$136,MATCH([9]設定!$D25,[9]第３表!$C$80:$C$136,0),2),[9]設定!$H25))</f>
        <v>146.6</v>
      </c>
      <c r="G11" s="52">
        <f>IF($D11="","",IF([9]設定!$H25="",INDEX([9]第３表!$F$80:$Q$136,MATCH([9]設定!$D25,[9]第３表!$C$80:$C$136,0),3),[9]設定!$H25))</f>
        <v>134.5</v>
      </c>
      <c r="H11" s="53">
        <f>IF($D11="","",IF([9]設定!$H25="",INDEX([9]第３表!$F$80:$Q$136,MATCH([9]設定!$D25,[9]第３表!$C$80:$C$136,0),4),[9]設定!$H25))</f>
        <v>12.1</v>
      </c>
      <c r="I11" s="54">
        <f>IF($D11="","",IF([9]設定!$H25="",INDEX([9]第３表!$F$80:$Q$136,MATCH([9]設定!$D25,[9]第３表!$C$80:$C$136,0),5),[9]設定!$H25))</f>
        <v>18.600000000000001</v>
      </c>
      <c r="J11" s="54">
        <f>IF($D11="","",IF([9]設定!$H25="",INDEX([9]第３表!$F$80:$Q$136,MATCH([9]設定!$D25,[9]第３表!$C$80:$C$136,0),6),[9]設定!$H25))</f>
        <v>157.19999999999999</v>
      </c>
      <c r="K11" s="54">
        <f>IF($D11="","",IF([9]設定!$H25="",INDEX([9]第３表!$F$80:$Q$136,MATCH([9]設定!$D25,[9]第３表!$C$80:$C$136,0),7),[9]設定!$H25))</f>
        <v>140.69999999999999</v>
      </c>
      <c r="L11" s="55">
        <f>IF($D11="","",IF([9]設定!$H25="",INDEX([9]第３表!$F$80:$Q$136,MATCH([9]設定!$D25,[9]第３表!$C$80:$C$136,0),8),[9]設定!$H25))</f>
        <v>16.5</v>
      </c>
      <c r="M11" s="56">
        <f>IF($D11="","",IF([9]設定!$H25="",INDEX([9]第３表!$F$80:$Q$136,MATCH([9]設定!$D25,[9]第３表!$C$80:$C$136,0),9),[9]設定!$H25))</f>
        <v>17.5</v>
      </c>
      <c r="N11" s="56">
        <f>IF($D11="","",IF([9]設定!$H25="",INDEX([9]第３表!$F$80:$Q$136,MATCH([9]設定!$D25,[9]第３表!$C$80:$C$136,0),10),[9]設定!$H25))</f>
        <v>131.6</v>
      </c>
      <c r="O11" s="56">
        <f>IF($D11="","",IF([9]設定!$H25="",INDEX([9]第３表!$F$80:$Q$136,MATCH([9]設定!$D25,[9]第３表!$C$80:$C$136,0),11),[9]設定!$H25))</f>
        <v>125.8</v>
      </c>
      <c r="P11" s="57">
        <f>IF($D11="","",IF([9]設定!$H25="",INDEX([9]第３表!$F$80:$Q$136,MATCH([9]設定!$D25,[9]第３表!$C$80:$C$136,0),12),[9]設定!$H25))</f>
        <v>5.8</v>
      </c>
    </row>
    <row r="12" spans="1:18" s="8" customFormat="1" ht="17.25" customHeight="1" x14ac:dyDescent="0.45">
      <c r="B12" s="49" t="str">
        <f>+[10]第５表!B12</f>
        <v>F</v>
      </c>
      <c r="C12" s="50"/>
      <c r="D12" s="58" t="str">
        <f>+[10]第５表!D12</f>
        <v>電気・ガス・熱供給・水道業</v>
      </c>
      <c r="E12" s="52">
        <f>IF($D12="","",IF([9]設定!$H26="",INDEX([9]第３表!$F$80:$Q$136,MATCH([9]設定!$D26,[9]第３表!$C$80:$C$136,0),1),[9]設定!$H26))</f>
        <v>18.7</v>
      </c>
      <c r="F12" s="52">
        <f>IF($D12="","",IF([9]設定!$H26="",INDEX([9]第３表!$F$80:$Q$136,MATCH([9]設定!$D26,[9]第３表!$C$80:$C$136,0),2),[9]設定!$H26))</f>
        <v>150</v>
      </c>
      <c r="G12" s="52">
        <f>IF($D12="","",IF([9]設定!$H26="",INDEX([9]第３表!$F$80:$Q$136,MATCH([9]設定!$D26,[9]第３表!$C$80:$C$136,0),3),[9]設定!$H26))</f>
        <v>135.69999999999999</v>
      </c>
      <c r="H12" s="53">
        <f>IF($D12="","",IF([9]設定!$H26="",INDEX([9]第３表!$F$80:$Q$136,MATCH([9]設定!$D26,[9]第３表!$C$80:$C$136,0),4),[9]設定!$H26))</f>
        <v>14.3</v>
      </c>
      <c r="I12" s="54">
        <f>IF($D12="","",IF([9]設定!$H26="",INDEX([9]第３表!$F$80:$Q$136,MATCH([9]設定!$D26,[9]第３表!$C$80:$C$136,0),5),[9]設定!$H26))</f>
        <v>18.7</v>
      </c>
      <c r="J12" s="54">
        <f>IF($D12="","",IF([9]設定!$H26="",INDEX([9]第３表!$F$80:$Q$136,MATCH([9]設定!$D26,[9]第３表!$C$80:$C$136,0),6),[9]設定!$H26))</f>
        <v>152.5</v>
      </c>
      <c r="K12" s="54">
        <f>IF($D12="","",IF([9]設定!$H26="",INDEX([9]第３表!$F$80:$Q$136,MATCH([9]設定!$D26,[9]第３表!$C$80:$C$136,0),7),[9]設定!$H26))</f>
        <v>137</v>
      </c>
      <c r="L12" s="55">
        <f>IF($D12="","",IF([9]設定!$H26="",INDEX([9]第３表!$F$80:$Q$136,MATCH([9]設定!$D26,[9]第３表!$C$80:$C$136,0),8),[9]設定!$H26))</f>
        <v>15.5</v>
      </c>
      <c r="M12" s="56">
        <f>IF($D12="","",IF([9]設定!$H26="",INDEX([9]第３表!$F$80:$Q$136,MATCH([9]設定!$D26,[9]第３表!$C$80:$C$136,0),9),[9]設定!$H26))</f>
        <v>18.3</v>
      </c>
      <c r="N12" s="56">
        <f>IF($D12="","",IF([9]設定!$H26="",INDEX([9]第３表!$F$80:$Q$136,MATCH([9]設定!$D26,[9]第３表!$C$80:$C$136,0),10),[9]設定!$H26))</f>
        <v>131.80000000000001</v>
      </c>
      <c r="O12" s="56">
        <f>IF($D12="","",IF([9]設定!$H26="",INDEX([9]第３表!$F$80:$Q$136,MATCH([9]設定!$D26,[9]第３表!$C$80:$C$136,0),11),[9]設定!$H26))</f>
        <v>126.4</v>
      </c>
      <c r="P12" s="57">
        <f>IF($D12="","",IF([9]設定!$H26="",INDEX([9]第３表!$F$80:$Q$136,MATCH([9]設定!$D26,[9]第３表!$C$80:$C$136,0),12),[9]設定!$H26))</f>
        <v>5.4</v>
      </c>
    </row>
    <row r="13" spans="1:18" s="8" customFormat="1" ht="17.25" customHeight="1" x14ac:dyDescent="0.45">
      <c r="B13" s="49" t="str">
        <f>+[10]第５表!B13</f>
        <v>G</v>
      </c>
      <c r="C13" s="50"/>
      <c r="D13" s="51" t="str">
        <f>+[10]第５表!D13</f>
        <v>情報通信業</v>
      </c>
      <c r="E13" s="52">
        <f>IF($D13="","",IF([9]設定!$H27="",INDEX([9]第３表!$F$80:$Q$136,MATCH([9]設定!$D27,[9]第３表!$C$80:$C$136,0),1),[9]設定!$H27))</f>
        <v>18.399999999999999</v>
      </c>
      <c r="F13" s="52">
        <f>IF($D13="","",IF([9]設定!$H27="",INDEX([9]第３表!$F$80:$Q$136,MATCH([9]設定!$D27,[9]第３表!$C$80:$C$136,0),2),[9]設定!$H27))</f>
        <v>151</v>
      </c>
      <c r="G13" s="52">
        <f>IF($D13="","",IF([9]設定!$H27="",INDEX([9]第３表!$F$80:$Q$136,MATCH([9]設定!$D27,[9]第３表!$C$80:$C$136,0),3),[9]設定!$H27))</f>
        <v>140.1</v>
      </c>
      <c r="H13" s="53">
        <f>IF($D13="","",IF([9]設定!$H27="",INDEX([9]第３表!$F$80:$Q$136,MATCH([9]設定!$D27,[9]第３表!$C$80:$C$136,0),4),[9]設定!$H27))</f>
        <v>10.9</v>
      </c>
      <c r="I13" s="54">
        <f>IF($D13="","",IF([9]設定!$H27="",INDEX([9]第３表!$F$80:$Q$136,MATCH([9]設定!$D27,[9]第３表!$C$80:$C$136,0),5),[9]設定!$H27))</f>
        <v>18.5</v>
      </c>
      <c r="J13" s="54">
        <f>IF($D13="","",IF([9]設定!$H27="",INDEX([9]第３表!$F$80:$Q$136,MATCH([9]設定!$D27,[9]第３表!$C$80:$C$136,0),6),[9]設定!$H27))</f>
        <v>153.1</v>
      </c>
      <c r="K13" s="54">
        <f>IF($D13="","",IF([9]設定!$H27="",INDEX([9]第３表!$F$80:$Q$136,MATCH([9]設定!$D27,[9]第３表!$C$80:$C$136,0),7),[9]設定!$H27))</f>
        <v>141.5</v>
      </c>
      <c r="L13" s="55">
        <f>IF($D13="","",IF([9]設定!$H27="",INDEX([9]第３表!$F$80:$Q$136,MATCH([9]設定!$D27,[9]第３表!$C$80:$C$136,0),8),[9]設定!$H27))</f>
        <v>11.6</v>
      </c>
      <c r="M13" s="56">
        <f>IF($D13="","",IF([9]設定!$H27="",INDEX([9]第３表!$F$80:$Q$136,MATCH([9]設定!$D27,[9]第３表!$C$80:$C$136,0),9),[9]設定!$H27))</f>
        <v>18.3</v>
      </c>
      <c r="N13" s="56">
        <f>IF($D13="","",IF([9]設定!$H27="",INDEX([9]第３表!$F$80:$Q$136,MATCH([9]設定!$D27,[9]第３表!$C$80:$C$136,0),10),[9]設定!$H27))</f>
        <v>146.19999999999999</v>
      </c>
      <c r="O13" s="56">
        <f>IF($D13="","",IF([9]設定!$H27="",INDEX([9]第３表!$F$80:$Q$136,MATCH([9]設定!$D27,[9]第３表!$C$80:$C$136,0),11),[9]設定!$H27))</f>
        <v>136.80000000000001</v>
      </c>
      <c r="P13" s="57">
        <f>IF($D13="","",IF([9]設定!$H27="",INDEX([9]第３表!$F$80:$Q$136,MATCH([9]設定!$D27,[9]第３表!$C$80:$C$136,0),12),[9]設定!$H27))</f>
        <v>9.4</v>
      </c>
    </row>
    <row r="14" spans="1:18" s="8" customFormat="1" ht="17.25" customHeight="1" x14ac:dyDescent="0.45">
      <c r="B14" s="49" t="str">
        <f>+[10]第５表!B14</f>
        <v>H</v>
      </c>
      <c r="C14" s="50"/>
      <c r="D14" s="51" t="str">
        <f>+[10]第５表!D14</f>
        <v>運輸業，郵便業</v>
      </c>
      <c r="E14" s="52">
        <f>IF($D14="","",IF([9]設定!$H28="",INDEX([9]第３表!$F$80:$Q$136,MATCH([9]設定!$D28,[9]第３表!$C$80:$C$136,0),1),[9]設定!$H28))</f>
        <v>18.7</v>
      </c>
      <c r="F14" s="52">
        <f>IF($D14="","",IF([9]設定!$H28="",INDEX([9]第３表!$F$80:$Q$136,MATCH([9]設定!$D28,[9]第３表!$C$80:$C$136,0),2),[9]設定!$H28))</f>
        <v>171.1</v>
      </c>
      <c r="G14" s="52">
        <f>IF($D14="","",IF([9]設定!$H28="",INDEX([9]第３表!$F$80:$Q$136,MATCH([9]設定!$D28,[9]第３表!$C$80:$C$136,0),3),[9]設定!$H28))</f>
        <v>139.9</v>
      </c>
      <c r="H14" s="53">
        <f>IF($D14="","",IF([9]設定!$H28="",INDEX([9]第３表!$F$80:$Q$136,MATCH([9]設定!$D28,[9]第３表!$C$80:$C$136,0),4),[9]設定!$H28))</f>
        <v>31.2</v>
      </c>
      <c r="I14" s="54">
        <f>IF($D14="","",IF([9]設定!$H28="",INDEX([9]第３表!$F$80:$Q$136,MATCH([9]設定!$D28,[9]第３表!$C$80:$C$136,0),5),[9]設定!$H28))</f>
        <v>18.7</v>
      </c>
      <c r="J14" s="54">
        <f>IF($D14="","",IF([9]設定!$H28="",INDEX([9]第３表!$F$80:$Q$136,MATCH([9]設定!$D28,[9]第３表!$C$80:$C$136,0),6),[9]設定!$H28))</f>
        <v>176.5</v>
      </c>
      <c r="K14" s="54">
        <f>IF($D14="","",IF([9]設定!$H28="",INDEX([9]第３表!$F$80:$Q$136,MATCH([9]設定!$D28,[9]第３表!$C$80:$C$136,0),7),[9]設定!$H28))</f>
        <v>140.1</v>
      </c>
      <c r="L14" s="55">
        <f>IF($D14="","",IF([9]設定!$H28="",INDEX([9]第３表!$F$80:$Q$136,MATCH([9]設定!$D28,[9]第３表!$C$80:$C$136,0),8),[9]設定!$H28))</f>
        <v>36.4</v>
      </c>
      <c r="M14" s="56">
        <f>IF($D14="","",IF([9]設定!$H28="",INDEX([9]第３表!$F$80:$Q$136,MATCH([9]設定!$D28,[9]第３表!$C$80:$C$136,0),9),[9]設定!$H28))</f>
        <v>19.100000000000001</v>
      </c>
      <c r="N14" s="56">
        <f>IF($D14="","",IF([9]設定!$H28="",INDEX([9]第３表!$F$80:$Q$136,MATCH([9]設定!$D28,[9]第３表!$C$80:$C$136,0),10),[9]設定!$H28))</f>
        <v>145.80000000000001</v>
      </c>
      <c r="O14" s="56">
        <f>IF($D14="","",IF([9]設定!$H28="",INDEX([9]第３表!$F$80:$Q$136,MATCH([9]設定!$D28,[9]第３表!$C$80:$C$136,0),11),[9]設定!$H28))</f>
        <v>139</v>
      </c>
      <c r="P14" s="57">
        <f>IF($D14="","",IF([9]設定!$H28="",INDEX([9]第３表!$F$80:$Q$136,MATCH([9]設定!$D28,[9]第３表!$C$80:$C$136,0),12),[9]設定!$H28))</f>
        <v>6.8</v>
      </c>
    </row>
    <row r="15" spans="1:18" s="8" customFormat="1" ht="17.25" customHeight="1" x14ac:dyDescent="0.45">
      <c r="B15" s="49" t="str">
        <f>+[10]第５表!B15</f>
        <v>I</v>
      </c>
      <c r="C15" s="50"/>
      <c r="D15" s="51" t="str">
        <f>+[10]第５表!D15</f>
        <v>卸売業，小売業</v>
      </c>
      <c r="E15" s="52">
        <f>IF($D15="","",IF([9]設定!$H29="",INDEX([9]第３表!$F$80:$Q$136,MATCH([9]設定!$D29,[9]第３表!$C$80:$C$136,0),1),[9]設定!$H29))</f>
        <v>18</v>
      </c>
      <c r="F15" s="52">
        <f>IF($D15="","",IF([9]設定!$H29="",INDEX([9]第３表!$F$80:$Q$136,MATCH([9]設定!$D29,[9]第３表!$C$80:$C$136,0),2),[9]設定!$H29))</f>
        <v>133.6</v>
      </c>
      <c r="G15" s="52">
        <f>IF($D15="","",IF([9]設定!$H29="",INDEX([9]第３表!$F$80:$Q$136,MATCH([9]設定!$D29,[9]第３表!$C$80:$C$136,0),3),[9]設定!$H29))</f>
        <v>125.8</v>
      </c>
      <c r="H15" s="53">
        <f>IF($D15="","",IF([9]設定!$H29="",INDEX([9]第３表!$F$80:$Q$136,MATCH([9]設定!$D29,[9]第３表!$C$80:$C$136,0),4),[9]設定!$H29))</f>
        <v>7.8</v>
      </c>
      <c r="I15" s="54">
        <f>IF($D15="","",IF([9]設定!$H29="",INDEX([9]第３表!$F$80:$Q$136,MATCH([9]設定!$D29,[9]第３表!$C$80:$C$136,0),5),[9]設定!$H29))</f>
        <v>18.100000000000001</v>
      </c>
      <c r="J15" s="54">
        <f>IF($D15="","",IF([9]設定!$H29="",INDEX([9]第３表!$F$80:$Q$136,MATCH([9]設定!$D29,[9]第３表!$C$80:$C$136,0),6),[9]設定!$H29))</f>
        <v>149.19999999999999</v>
      </c>
      <c r="K15" s="54">
        <f>IF($D15="","",IF([9]設定!$H29="",INDEX([9]第３表!$F$80:$Q$136,MATCH([9]設定!$D29,[9]第３表!$C$80:$C$136,0),7),[9]設定!$H29))</f>
        <v>137.80000000000001</v>
      </c>
      <c r="L15" s="55">
        <f>IF($D15="","",IF([9]設定!$H29="",INDEX([9]第３表!$F$80:$Q$136,MATCH([9]設定!$D29,[9]第３表!$C$80:$C$136,0),8),[9]設定!$H29))</f>
        <v>11.4</v>
      </c>
      <c r="M15" s="56">
        <f>IF($D15="","",IF([9]設定!$H29="",INDEX([9]第３表!$F$80:$Q$136,MATCH([9]設定!$D29,[9]第３表!$C$80:$C$136,0),9),[9]設定!$H29))</f>
        <v>17.8</v>
      </c>
      <c r="N15" s="56">
        <f>IF($D15="","",IF([9]設定!$H29="",INDEX([9]第３表!$F$80:$Q$136,MATCH([9]設定!$D29,[9]第３表!$C$80:$C$136,0),10),[9]設定!$H29))</f>
        <v>115.9</v>
      </c>
      <c r="O15" s="56">
        <f>IF($D15="","",IF([9]設定!$H29="",INDEX([9]第３表!$F$80:$Q$136,MATCH([9]設定!$D29,[9]第３表!$C$80:$C$136,0),11),[9]設定!$H29))</f>
        <v>112.1</v>
      </c>
      <c r="P15" s="57">
        <f>IF($D15="","",IF([9]設定!$H29="",INDEX([9]第３表!$F$80:$Q$136,MATCH([9]設定!$D29,[9]第３表!$C$80:$C$136,0),12),[9]設定!$H29))</f>
        <v>3.8</v>
      </c>
    </row>
    <row r="16" spans="1:18" s="8" customFormat="1" ht="17.25" customHeight="1" x14ac:dyDescent="0.45">
      <c r="B16" s="49" t="str">
        <f>+[10]第５表!B16</f>
        <v>J</v>
      </c>
      <c r="C16" s="50"/>
      <c r="D16" s="51" t="str">
        <f>+[10]第５表!D16</f>
        <v>金融業，保険業</v>
      </c>
      <c r="E16" s="52">
        <f>IF($D16="","",IF([9]設定!$H30="",INDEX([9]第３表!$F$80:$Q$136,MATCH([9]設定!$D30,[9]第３表!$C$80:$C$136,0),1),[9]設定!$H30))</f>
        <v>18.399999999999999</v>
      </c>
      <c r="F16" s="52">
        <f>IF($D16="","",IF([9]設定!$H30="",INDEX([9]第３表!$F$80:$Q$136,MATCH([9]設定!$D30,[9]第３表!$C$80:$C$136,0),2),[9]設定!$H30))</f>
        <v>140.9</v>
      </c>
      <c r="G16" s="52">
        <f>IF($D16="","",IF([9]設定!$H30="",INDEX([9]第３表!$F$80:$Q$136,MATCH([9]設定!$D30,[9]第３表!$C$80:$C$136,0),3),[9]設定!$H30))</f>
        <v>135</v>
      </c>
      <c r="H16" s="53">
        <f>IF($D16="","",IF([9]設定!$H30="",INDEX([9]第３表!$F$80:$Q$136,MATCH([9]設定!$D30,[9]第３表!$C$80:$C$136,0),4),[9]設定!$H30))</f>
        <v>5.9</v>
      </c>
      <c r="I16" s="54">
        <f>IF($D16="","",IF([9]設定!$H30="",INDEX([9]第３表!$F$80:$Q$136,MATCH([9]設定!$D30,[9]第３表!$C$80:$C$136,0),5),[9]設定!$H30))</f>
        <v>18.899999999999999</v>
      </c>
      <c r="J16" s="54">
        <f>IF($D16="","",IF([9]設定!$H30="",INDEX([9]第３表!$F$80:$Q$136,MATCH([9]設定!$D30,[9]第３表!$C$80:$C$136,0),6),[9]設定!$H30))</f>
        <v>148.19999999999999</v>
      </c>
      <c r="K16" s="54">
        <f>IF($D16="","",IF([9]設定!$H30="",INDEX([9]第３表!$F$80:$Q$136,MATCH([9]設定!$D30,[9]第３表!$C$80:$C$136,0),7),[9]設定!$H30))</f>
        <v>141.1</v>
      </c>
      <c r="L16" s="55">
        <f>IF($D16="","",IF([9]設定!$H30="",INDEX([9]第３表!$F$80:$Q$136,MATCH([9]設定!$D30,[9]第３表!$C$80:$C$136,0),8),[9]設定!$H30))</f>
        <v>7.1</v>
      </c>
      <c r="M16" s="56">
        <f>IF($D16="","",IF([9]設定!$H30="",INDEX([9]第３表!$F$80:$Q$136,MATCH([9]設定!$D30,[9]第３表!$C$80:$C$136,0),9),[9]設定!$H30))</f>
        <v>17.5</v>
      </c>
      <c r="N16" s="56">
        <f>IF($D16="","",IF([9]設定!$H30="",INDEX([9]第３表!$F$80:$Q$136,MATCH([9]設定!$D30,[9]第３表!$C$80:$C$136,0),10),[9]設定!$H30))</f>
        <v>129.69999999999999</v>
      </c>
      <c r="O16" s="56">
        <f>IF($D16="","",IF([9]設定!$H30="",INDEX([9]第３表!$F$80:$Q$136,MATCH([9]設定!$D30,[9]第３表!$C$80:$C$136,0),11),[9]設定!$H30))</f>
        <v>125.6</v>
      </c>
      <c r="P16" s="57">
        <f>IF($D16="","",IF([9]設定!$H30="",INDEX([9]第３表!$F$80:$Q$136,MATCH([9]設定!$D30,[9]第３表!$C$80:$C$136,0),12),[9]設定!$H30))</f>
        <v>4.0999999999999996</v>
      </c>
    </row>
    <row r="17" spans="2:16" s="8" customFormat="1" ht="17.25" customHeight="1" x14ac:dyDescent="0.45">
      <c r="B17" s="49" t="str">
        <f>+[10]第５表!B17</f>
        <v>K</v>
      </c>
      <c r="C17" s="50"/>
      <c r="D17" s="51" t="str">
        <f>+[10]第５表!D17</f>
        <v>不動産業，物品賃貸業</v>
      </c>
      <c r="E17" s="52">
        <f>IF($D17="","",IF([9]設定!$H31="",INDEX([9]第３表!$F$80:$Q$136,MATCH([9]設定!$D31,[9]第３表!$C$80:$C$136,0),1),[9]設定!$H31))</f>
        <v>15.8</v>
      </c>
      <c r="F17" s="52">
        <f>IF($D17="","",IF([9]設定!$H31="",INDEX([9]第３表!$F$80:$Q$136,MATCH([9]設定!$D31,[9]第３表!$C$80:$C$136,0),2),[9]設定!$H31))</f>
        <v>105.5</v>
      </c>
      <c r="G17" s="52">
        <f>IF($D17="","",IF([9]設定!$H31="",INDEX([9]第３表!$F$80:$Q$136,MATCH([9]設定!$D31,[9]第３表!$C$80:$C$136,0),3),[9]設定!$H31))</f>
        <v>102.5</v>
      </c>
      <c r="H17" s="52">
        <f>IF($D17="","",IF([9]設定!$H31="",INDEX([9]第３表!$F$80:$Q$136,MATCH([9]設定!$D31,[9]第３表!$C$80:$C$136,0),4),[9]設定!$H31))</f>
        <v>3</v>
      </c>
      <c r="I17" s="54">
        <f>IF($D17="","",IF([9]設定!$H31="",INDEX([9]第３表!$F$80:$Q$136,MATCH([9]設定!$D31,[9]第３表!$C$80:$C$136,0),5),[9]設定!$H31))</f>
        <v>18.600000000000001</v>
      </c>
      <c r="J17" s="54">
        <f>IF($D17="","",IF([9]設定!$H31="",INDEX([9]第３表!$F$80:$Q$136,MATCH([9]設定!$D31,[9]第３表!$C$80:$C$136,0),6),[9]設定!$H31))</f>
        <v>144.1</v>
      </c>
      <c r="K17" s="54">
        <f>IF($D17="","",IF([9]設定!$H31="",INDEX([9]第３表!$F$80:$Q$136,MATCH([9]設定!$D31,[9]第３表!$C$80:$C$136,0),7),[9]設定!$H31))</f>
        <v>137.6</v>
      </c>
      <c r="L17" s="55">
        <f>IF($D17="","",IF([9]設定!$H31="",INDEX([9]第３表!$F$80:$Q$136,MATCH([9]設定!$D31,[9]第３表!$C$80:$C$136,0),8),[9]設定!$H31))</f>
        <v>6.5</v>
      </c>
      <c r="M17" s="56">
        <f>IF($D17="","",IF([9]設定!$H31="",INDEX([9]第３表!$F$80:$Q$136,MATCH([9]設定!$D31,[9]第３表!$C$80:$C$136,0),9),[9]設定!$H31))</f>
        <v>14</v>
      </c>
      <c r="N17" s="56">
        <f>IF($D17="","",IF([9]設定!$H31="",INDEX([9]第３表!$F$80:$Q$136,MATCH([9]設定!$D31,[9]第３表!$C$80:$C$136,0),10),[9]設定!$H31))</f>
        <v>80</v>
      </c>
      <c r="O17" s="56">
        <f>IF($D17="","",IF([9]設定!$H31="",INDEX([9]第３表!$F$80:$Q$136,MATCH([9]設定!$D31,[9]第３表!$C$80:$C$136,0),11),[9]設定!$H31))</f>
        <v>79.3</v>
      </c>
      <c r="P17" s="57">
        <f>IF($D17="","",IF([9]設定!$H31="",INDEX([9]第３表!$F$80:$Q$136,MATCH([9]設定!$D31,[9]第３表!$C$80:$C$136,0),12),[9]設定!$H31))</f>
        <v>0.7</v>
      </c>
    </row>
    <row r="18" spans="2:16" s="8" customFormat="1" ht="17.25" customHeight="1" x14ac:dyDescent="0.45">
      <c r="B18" s="49" t="str">
        <f>+[10]第５表!B18</f>
        <v>L</v>
      </c>
      <c r="C18" s="50"/>
      <c r="D18" s="59" t="str">
        <f>+[10]第５表!D18</f>
        <v>学術研究，専門・技術サービス業</v>
      </c>
      <c r="E18" s="52">
        <f>IF($D18="","",IF([9]設定!$H32="",INDEX([9]第３表!$F$80:$Q$136,MATCH([9]設定!$D32,[9]第３表!$C$80:$C$136,0),1),[9]設定!$H32))</f>
        <v>18.2</v>
      </c>
      <c r="F18" s="52">
        <f>IF($D18="","",IF([9]設定!$H32="",INDEX([9]第３表!$F$80:$Q$136,MATCH([9]設定!$D32,[9]第３表!$C$80:$C$136,0),2),[9]設定!$H32))</f>
        <v>146.69999999999999</v>
      </c>
      <c r="G18" s="52">
        <f>IF($D18="","",IF([9]設定!$H32="",INDEX([9]第３表!$F$80:$Q$136,MATCH([9]設定!$D32,[9]第３表!$C$80:$C$136,0),3),[9]設定!$H32))</f>
        <v>139.6</v>
      </c>
      <c r="H18" s="53">
        <f>IF($D18="","",IF([9]設定!$H32="",INDEX([9]第３表!$F$80:$Q$136,MATCH([9]設定!$D32,[9]第３表!$C$80:$C$136,0),4),[9]設定!$H32))</f>
        <v>7.1</v>
      </c>
      <c r="I18" s="54">
        <f>IF($D18="","",IF([9]設定!$H32="",INDEX([9]第３表!$F$80:$Q$136,MATCH([9]設定!$D32,[9]第３表!$C$80:$C$136,0),5),[9]設定!$H32))</f>
        <v>18.100000000000001</v>
      </c>
      <c r="J18" s="54">
        <f>IF($D18="","",IF([9]設定!$H32="",INDEX([9]第３表!$F$80:$Q$136,MATCH([9]設定!$D32,[9]第３表!$C$80:$C$136,0),6),[9]設定!$H32))</f>
        <v>150.4</v>
      </c>
      <c r="K18" s="54">
        <f>IF($D18="","",IF([9]設定!$H32="",INDEX([9]第３表!$F$80:$Q$136,MATCH([9]設定!$D32,[9]第３表!$C$80:$C$136,0),7),[9]設定!$H32))</f>
        <v>143.30000000000001</v>
      </c>
      <c r="L18" s="55">
        <f>IF($D18="","",IF([9]設定!$H32="",INDEX([9]第３表!$F$80:$Q$136,MATCH([9]設定!$D32,[9]第３表!$C$80:$C$136,0),8),[9]設定!$H32))</f>
        <v>7.1</v>
      </c>
      <c r="M18" s="56">
        <f>IF($D18="","",IF([9]設定!$H32="",INDEX([9]第３表!$F$80:$Q$136,MATCH([9]設定!$D32,[9]第３表!$C$80:$C$136,0),9),[9]設定!$H32))</f>
        <v>18.5</v>
      </c>
      <c r="N18" s="56">
        <f>IF($D18="","",IF([9]設定!$H32="",INDEX([9]第３表!$F$80:$Q$136,MATCH([9]設定!$D32,[9]第３表!$C$80:$C$136,0),10),[9]設定!$H32))</f>
        <v>139.5</v>
      </c>
      <c r="O18" s="56">
        <f>IF($D18="","",IF([9]設定!$H32="",INDEX([9]第３表!$F$80:$Q$136,MATCH([9]設定!$D32,[9]第３表!$C$80:$C$136,0),11),[9]設定!$H32))</f>
        <v>132.5</v>
      </c>
      <c r="P18" s="57">
        <f>IF($D18="","",IF([9]設定!$H32="",INDEX([9]第３表!$F$80:$Q$136,MATCH([9]設定!$D32,[9]第３表!$C$80:$C$136,0),12),[9]設定!$H32))</f>
        <v>7</v>
      </c>
    </row>
    <row r="19" spans="2:16" s="8" customFormat="1" ht="17.25" customHeight="1" x14ac:dyDescent="0.45">
      <c r="B19" s="49" t="str">
        <f>+[10]第５表!B19</f>
        <v>M</v>
      </c>
      <c r="C19" s="50"/>
      <c r="D19" s="60" t="str">
        <f>+[10]第５表!D19</f>
        <v>宿泊業，飲食サービス業</v>
      </c>
      <c r="E19" s="52">
        <f>IF($D19="","",IF([9]設定!$H33="",INDEX([9]第３表!$F$80:$Q$136,MATCH([9]設定!$D33,[9]第３表!$C$80:$C$136,0),1),[9]設定!$H33))</f>
        <v>15.3</v>
      </c>
      <c r="F19" s="52">
        <f>IF($D19="","",IF([9]設定!$H33="",INDEX([9]第３表!$F$80:$Q$136,MATCH([9]設定!$D33,[9]第３表!$C$80:$C$136,0),2),[9]設定!$H33))</f>
        <v>93.1</v>
      </c>
      <c r="G19" s="52">
        <f>IF($D19="","",IF([9]設定!$H33="",INDEX([9]第３表!$F$80:$Q$136,MATCH([9]設定!$D33,[9]第３表!$C$80:$C$136,0),3),[9]設定!$H33))</f>
        <v>88.3</v>
      </c>
      <c r="H19" s="53">
        <f>IF($D19="","",IF([9]設定!$H33="",INDEX([9]第３表!$F$80:$Q$136,MATCH([9]設定!$D33,[9]第３表!$C$80:$C$136,0),4),[9]設定!$H33))</f>
        <v>4.8</v>
      </c>
      <c r="I19" s="54">
        <f>IF($D19="","",IF([9]設定!$H33="",INDEX([9]第３表!$F$80:$Q$136,MATCH([9]設定!$D33,[9]第３表!$C$80:$C$136,0),5),[9]設定!$H33))</f>
        <v>17</v>
      </c>
      <c r="J19" s="54">
        <f>IF($D19="","",IF([9]設定!$H33="",INDEX([9]第３表!$F$80:$Q$136,MATCH([9]設定!$D33,[9]第３表!$C$80:$C$136,0),6),[9]設定!$H33))</f>
        <v>113</v>
      </c>
      <c r="K19" s="54">
        <f>IF($D19="","",IF([9]設定!$H33="",INDEX([9]第３表!$F$80:$Q$136,MATCH([9]設定!$D33,[9]第３表!$C$80:$C$136,0),7),[9]設定!$H33))</f>
        <v>104.4</v>
      </c>
      <c r="L19" s="55">
        <f>IF($D19="","",IF([9]設定!$H33="",INDEX([9]第３表!$F$80:$Q$136,MATCH([9]設定!$D33,[9]第３表!$C$80:$C$136,0),8),[9]設定!$H33))</f>
        <v>8.6</v>
      </c>
      <c r="M19" s="56">
        <f>IF($D19="","",IF([9]設定!$H33="",INDEX([9]第３表!$F$80:$Q$136,MATCH([9]設定!$D33,[9]第３表!$C$80:$C$136,0),9),[9]設定!$H33))</f>
        <v>14.4</v>
      </c>
      <c r="N19" s="56">
        <f>IF($D19="","",IF([9]設定!$H33="",INDEX([9]第３表!$F$80:$Q$136,MATCH([9]設定!$D33,[9]第３表!$C$80:$C$136,0),10),[9]設定!$H33))</f>
        <v>82.8</v>
      </c>
      <c r="O19" s="56">
        <f>IF($D19="","",IF([9]設定!$H33="",INDEX([9]第３表!$F$80:$Q$136,MATCH([9]設定!$D33,[9]第３表!$C$80:$C$136,0),11),[9]設定!$H33))</f>
        <v>79.900000000000006</v>
      </c>
      <c r="P19" s="57">
        <f>IF($D19="","",IF([9]設定!$H33="",INDEX([9]第３表!$F$80:$Q$136,MATCH([9]設定!$D33,[9]第３表!$C$80:$C$136,0),12),[9]設定!$H33))</f>
        <v>2.9</v>
      </c>
    </row>
    <row r="20" spans="2:16" s="8" customFormat="1" ht="17.25" customHeight="1" x14ac:dyDescent="0.45">
      <c r="B20" s="49" t="str">
        <f>+[10]第５表!B20</f>
        <v>N</v>
      </c>
      <c r="C20" s="50"/>
      <c r="D20" s="61" t="str">
        <f>+[10]第５表!D20</f>
        <v>生活関連サービス業，娯楽業</v>
      </c>
      <c r="E20" s="52">
        <f>IF($D20="","",IF([9]設定!$H34="",INDEX([9]第３表!$F$80:$Q$136,MATCH([9]設定!$D34,[9]第３表!$C$80:$C$136,0),1),[9]設定!$H34))</f>
        <v>16.899999999999999</v>
      </c>
      <c r="F20" s="52">
        <f>IF($D20="","",IF([9]設定!$H34="",INDEX([9]第３表!$F$80:$Q$136,MATCH([9]設定!$D34,[9]第３表!$C$80:$C$136,0),2),[9]設定!$H34))</f>
        <v>128.80000000000001</v>
      </c>
      <c r="G20" s="52">
        <f>IF($D20="","",IF([9]設定!$H34="",INDEX([9]第３表!$F$80:$Q$136,MATCH([9]設定!$D34,[9]第３表!$C$80:$C$136,0),3),[9]設定!$H34))</f>
        <v>124.3</v>
      </c>
      <c r="H20" s="53">
        <f>IF($D20="","",IF([9]設定!$H34="",INDEX([9]第３表!$F$80:$Q$136,MATCH([9]設定!$D34,[9]第３表!$C$80:$C$136,0),4),[9]設定!$H34))</f>
        <v>4.5</v>
      </c>
      <c r="I20" s="54">
        <f>IF($D20="","",IF([9]設定!$H34="",INDEX([9]第３表!$F$80:$Q$136,MATCH([9]設定!$D34,[9]第３表!$C$80:$C$136,0),5),[9]設定!$H34))</f>
        <v>17.2</v>
      </c>
      <c r="J20" s="54">
        <f>IF($D20="","",IF([9]設定!$H34="",INDEX([9]第３表!$F$80:$Q$136,MATCH([9]設定!$D34,[9]第３表!$C$80:$C$136,0),6),[9]設定!$H34))</f>
        <v>140.5</v>
      </c>
      <c r="K20" s="54">
        <f>IF($D20="","",IF([9]設定!$H34="",INDEX([9]第３表!$F$80:$Q$136,MATCH([9]設定!$D34,[9]第３表!$C$80:$C$136,0),7),[9]設定!$H34))</f>
        <v>134.80000000000001</v>
      </c>
      <c r="L20" s="55">
        <f>IF($D20="","",IF([9]設定!$H34="",INDEX([9]第３表!$F$80:$Q$136,MATCH([9]設定!$D34,[9]第３表!$C$80:$C$136,0),8),[9]設定!$H34))</f>
        <v>5.7</v>
      </c>
      <c r="M20" s="56">
        <f>IF($D20="","",IF([9]設定!$H34="",INDEX([9]第３表!$F$80:$Q$136,MATCH([9]設定!$D34,[9]第３表!$C$80:$C$136,0),9),[9]設定!$H34))</f>
        <v>16.600000000000001</v>
      </c>
      <c r="N20" s="56">
        <f>IF($D20="","",IF([9]設定!$H34="",INDEX([9]第３表!$F$80:$Q$136,MATCH([9]設定!$D34,[9]第３表!$C$80:$C$136,0),10),[9]設定!$H34))</f>
        <v>115.6</v>
      </c>
      <c r="O20" s="56">
        <f>IF($D20="","",IF([9]設定!$H34="",INDEX([9]第３表!$F$80:$Q$136,MATCH([9]設定!$D34,[9]第３表!$C$80:$C$136,0),11),[9]設定!$H34))</f>
        <v>112.4</v>
      </c>
      <c r="P20" s="57">
        <f>IF($D20="","",IF([9]設定!$H34="",INDEX([9]第３表!$F$80:$Q$136,MATCH([9]設定!$D34,[9]第３表!$C$80:$C$136,0),12),[9]設定!$H34))</f>
        <v>3.2</v>
      </c>
    </row>
    <row r="21" spans="2:16" s="8" customFormat="1" ht="17.25" customHeight="1" x14ac:dyDescent="0.45">
      <c r="B21" s="49" t="str">
        <f>+[10]第５表!B21</f>
        <v>O</v>
      </c>
      <c r="C21" s="50"/>
      <c r="D21" s="51" t="str">
        <f>+[10]第５表!D21</f>
        <v>教育，学習支援業</v>
      </c>
      <c r="E21" s="52">
        <f>IF($D21="","",IF([9]設定!$H35="",INDEX([9]第３表!$F$80:$Q$136,MATCH([9]設定!$D35,[9]第３表!$C$80:$C$136,0),1),[9]設定!$H35))</f>
        <v>18.899999999999999</v>
      </c>
      <c r="F21" s="52">
        <f>IF($D21="","",IF([9]設定!$H35="",INDEX([9]第３表!$F$80:$Q$136,MATCH([9]設定!$D35,[9]第３表!$C$80:$C$136,0),2),[9]設定!$H35))</f>
        <v>161.30000000000001</v>
      </c>
      <c r="G21" s="52">
        <f>IF($D21="","",IF([9]設定!$H35="",INDEX([9]第３表!$F$80:$Q$136,MATCH([9]設定!$D35,[9]第３表!$C$80:$C$136,0),3),[9]設定!$H35))</f>
        <v>136.4</v>
      </c>
      <c r="H21" s="53">
        <f>IF($D21="","",IF([9]設定!$H35="",INDEX([9]第３表!$F$80:$Q$136,MATCH([9]設定!$D35,[9]第３表!$C$80:$C$136,0),4),[9]設定!$H35))</f>
        <v>24.9</v>
      </c>
      <c r="I21" s="54">
        <f>IF($D21="","",IF([9]設定!$H35="",INDEX([9]第３表!$F$80:$Q$136,MATCH([9]設定!$D35,[9]第３表!$C$80:$C$136,0),5),[9]設定!$H35))</f>
        <v>19.2</v>
      </c>
      <c r="J21" s="54">
        <f>IF($D21="","",IF([9]設定!$H35="",INDEX([9]第３表!$F$80:$Q$136,MATCH([9]設定!$D35,[9]第３表!$C$80:$C$136,0),6),[9]設定!$H35))</f>
        <v>173.1</v>
      </c>
      <c r="K21" s="54">
        <f>IF($D21="","",IF([9]設定!$H35="",INDEX([9]第３表!$F$80:$Q$136,MATCH([9]設定!$D35,[9]第３表!$C$80:$C$136,0),7),[9]設定!$H35))</f>
        <v>139.9</v>
      </c>
      <c r="L21" s="55">
        <f>IF($D21="","",IF([9]設定!$H35="",INDEX([9]第３表!$F$80:$Q$136,MATCH([9]設定!$D35,[9]第３表!$C$80:$C$136,0),8),[9]設定!$H35))</f>
        <v>33.200000000000003</v>
      </c>
      <c r="M21" s="56">
        <f>IF($D21="","",IF([9]設定!$H35="",INDEX([9]第３表!$F$80:$Q$136,MATCH([9]設定!$D35,[9]第３表!$C$80:$C$136,0),9),[9]設定!$H35))</f>
        <v>18.600000000000001</v>
      </c>
      <c r="N21" s="56">
        <f>IF($D21="","",IF([9]設定!$H35="",INDEX([9]第３表!$F$80:$Q$136,MATCH([9]設定!$D35,[9]第３表!$C$80:$C$136,0),10),[9]設定!$H35))</f>
        <v>150.80000000000001</v>
      </c>
      <c r="O21" s="56">
        <f>IF($D21="","",IF([9]設定!$H35="",INDEX([9]第３表!$F$80:$Q$136,MATCH([9]設定!$D35,[9]第３表!$C$80:$C$136,0),11),[9]設定!$H35))</f>
        <v>133.19999999999999</v>
      </c>
      <c r="P21" s="57">
        <f>IF($D21="","",IF([9]設定!$H35="",INDEX([9]第３表!$F$80:$Q$136,MATCH([9]設定!$D35,[9]第３表!$C$80:$C$136,0),12),[9]設定!$H35))</f>
        <v>17.600000000000001</v>
      </c>
    </row>
    <row r="22" spans="2:16" s="8" customFormat="1" ht="17.25" customHeight="1" x14ac:dyDescent="0.45">
      <c r="B22" s="49" t="str">
        <f>+[10]第５表!B22</f>
        <v>P</v>
      </c>
      <c r="C22" s="50"/>
      <c r="D22" s="51" t="str">
        <f>+[10]第５表!D22</f>
        <v>医療，福祉</v>
      </c>
      <c r="E22" s="52">
        <f>IF($D22="","",IF([9]設定!$H36="",INDEX([9]第３表!$F$80:$Q$136,MATCH([9]設定!$D36,[9]第３表!$C$80:$C$136,0),1),[9]設定!$H36))</f>
        <v>18.8</v>
      </c>
      <c r="F22" s="52">
        <f>IF($D22="","",IF([9]設定!$H36="",INDEX([9]第３表!$F$80:$Q$136,MATCH([9]設定!$D36,[9]第３表!$C$80:$C$136,0),2),[9]設定!$H36))</f>
        <v>139.30000000000001</v>
      </c>
      <c r="G22" s="52">
        <f>IF($D22="","",IF([9]設定!$H36="",INDEX([9]第３表!$F$80:$Q$136,MATCH([9]設定!$D36,[9]第３表!$C$80:$C$136,0),3),[9]設定!$H36))</f>
        <v>135.6</v>
      </c>
      <c r="H22" s="53">
        <f>IF($D22="","",IF([9]設定!$H36="",INDEX([9]第３表!$F$80:$Q$136,MATCH([9]設定!$D36,[9]第３表!$C$80:$C$136,0),4),[9]設定!$H36))</f>
        <v>3.7</v>
      </c>
      <c r="I22" s="54">
        <f>IF($D22="","",IF([9]設定!$H36="",INDEX([9]第３表!$F$80:$Q$136,MATCH([9]設定!$D36,[9]第３表!$C$80:$C$136,0),5),[9]設定!$H36))</f>
        <v>19.7</v>
      </c>
      <c r="J22" s="54">
        <f>IF($D22="","",IF([9]設定!$H36="",INDEX([9]第３表!$F$80:$Q$136,MATCH([9]設定!$D36,[9]第３表!$C$80:$C$136,0),6),[9]設定!$H36))</f>
        <v>149.69999999999999</v>
      </c>
      <c r="K22" s="54">
        <f>IF($D22="","",IF([9]設定!$H36="",INDEX([9]第３表!$F$80:$Q$136,MATCH([9]設定!$D36,[9]第３表!$C$80:$C$136,0),7),[9]設定!$H36))</f>
        <v>145.19999999999999</v>
      </c>
      <c r="L22" s="55">
        <f>IF($D22="","",IF([9]設定!$H36="",INDEX([9]第３表!$F$80:$Q$136,MATCH([9]設定!$D36,[9]第３表!$C$80:$C$136,0),8),[9]設定!$H36))</f>
        <v>4.5</v>
      </c>
      <c r="M22" s="56">
        <f>IF($D22="","",IF([9]設定!$H36="",INDEX([9]第３表!$F$80:$Q$136,MATCH([9]設定!$D36,[9]第３表!$C$80:$C$136,0),9),[9]設定!$H36))</f>
        <v>18.600000000000001</v>
      </c>
      <c r="N22" s="56">
        <f>IF($D22="","",IF([9]設定!$H36="",INDEX([9]第３表!$F$80:$Q$136,MATCH([9]設定!$D36,[9]第３表!$C$80:$C$136,0),10),[9]設定!$H36))</f>
        <v>136.30000000000001</v>
      </c>
      <c r="O22" s="56">
        <f>IF($D22="","",IF([9]設定!$H36="",INDEX([9]第３表!$F$80:$Q$136,MATCH([9]設定!$D36,[9]第３表!$C$80:$C$136,0),11),[9]設定!$H36))</f>
        <v>132.80000000000001</v>
      </c>
      <c r="P22" s="57">
        <f>IF($D22="","",IF([9]設定!$H36="",INDEX([9]第３表!$F$80:$Q$136,MATCH([9]設定!$D36,[9]第３表!$C$80:$C$136,0),12),[9]設定!$H36))</f>
        <v>3.5</v>
      </c>
    </row>
    <row r="23" spans="2:16" s="8" customFormat="1" ht="17.25" customHeight="1" x14ac:dyDescent="0.45">
      <c r="B23" s="49" t="str">
        <f>+[10]第５表!B23</f>
        <v>Q</v>
      </c>
      <c r="C23" s="50"/>
      <c r="D23" s="51" t="str">
        <f>+[10]第５表!D23</f>
        <v>複合サービス事業</v>
      </c>
      <c r="E23" s="52">
        <f>IF($D23="","",IF([9]設定!$H37="",INDEX([9]第３表!$F$80:$Q$136,MATCH([9]設定!$D37,[9]第３表!$C$80:$C$136,0),1),[9]設定!$H37))</f>
        <v>18.8</v>
      </c>
      <c r="F23" s="52">
        <f>IF($D23="","",IF([9]設定!$H37="",INDEX([9]第３表!$F$80:$Q$136,MATCH([9]設定!$D37,[9]第３表!$C$80:$C$136,0),2),[9]設定!$H37))</f>
        <v>150.1</v>
      </c>
      <c r="G23" s="52">
        <f>IF($D23="","",IF([9]設定!$H37="",INDEX([9]第３表!$F$80:$Q$136,MATCH([9]設定!$D37,[9]第３表!$C$80:$C$136,0),3),[9]設定!$H37))</f>
        <v>145.30000000000001</v>
      </c>
      <c r="H23" s="53">
        <f>IF($D23="","",IF([9]設定!$H37="",INDEX([9]第３表!$F$80:$Q$136,MATCH([9]設定!$D37,[9]第３表!$C$80:$C$136,0),4),[9]設定!$H37))</f>
        <v>4.8</v>
      </c>
      <c r="I23" s="54">
        <f>IF($D23="","",IF([9]設定!$H37="",INDEX([9]第３表!$F$80:$Q$136,MATCH([9]設定!$D37,[9]第３表!$C$80:$C$136,0),5),[9]設定!$H37))</f>
        <v>18.600000000000001</v>
      </c>
      <c r="J23" s="54">
        <f>IF($D23="","",IF([9]設定!$H37="",INDEX([9]第３表!$F$80:$Q$136,MATCH([9]設定!$D37,[9]第３表!$C$80:$C$136,0),6),[9]設定!$H37))</f>
        <v>151.30000000000001</v>
      </c>
      <c r="K23" s="54">
        <f>IF($D23="","",IF([9]設定!$H37="",INDEX([9]第３表!$F$80:$Q$136,MATCH([9]設定!$D37,[9]第３表!$C$80:$C$136,0),7),[9]設定!$H37))</f>
        <v>146.30000000000001</v>
      </c>
      <c r="L23" s="55">
        <f>IF($D23="","",IF([9]設定!$H37="",INDEX([9]第３表!$F$80:$Q$136,MATCH([9]設定!$D37,[9]第３表!$C$80:$C$136,0),8),[9]設定!$H37))</f>
        <v>5</v>
      </c>
      <c r="M23" s="56">
        <f>IF($D23="","",IF([9]設定!$H37="",INDEX([9]第３表!$F$80:$Q$136,MATCH([9]設定!$D37,[9]第３表!$C$80:$C$136,0),9),[9]設定!$H37))</f>
        <v>19.100000000000001</v>
      </c>
      <c r="N23" s="56">
        <f>IF($D23="","",IF([9]設定!$H37="",INDEX([9]第３表!$F$80:$Q$136,MATCH([9]設定!$D37,[9]第３表!$C$80:$C$136,0),10),[9]設定!$H37))</f>
        <v>148.30000000000001</v>
      </c>
      <c r="O23" s="56">
        <f>IF($D23="","",IF([9]設定!$H37="",INDEX([9]第３表!$F$80:$Q$136,MATCH([9]設定!$D37,[9]第３表!$C$80:$C$136,0),11),[9]設定!$H37))</f>
        <v>143.69999999999999</v>
      </c>
      <c r="P23" s="57">
        <f>IF($D23="","",IF([9]設定!$H37="",INDEX([9]第３表!$F$80:$Q$136,MATCH([9]設定!$D37,[9]第３表!$C$80:$C$136,0),12),[9]設定!$H37))</f>
        <v>4.5999999999999996</v>
      </c>
    </row>
    <row r="24" spans="2:16" s="8" customFormat="1" ht="17.25" customHeight="1" x14ac:dyDescent="0.45">
      <c r="B24" s="49" t="str">
        <f>+[10]第５表!B24</f>
        <v>R</v>
      </c>
      <c r="C24" s="50"/>
      <c r="D24" s="62" t="str">
        <f>+[10]第５表!D24</f>
        <v>サービス業（他に分類されないもの）</v>
      </c>
      <c r="E24" s="52">
        <f>IF($D24="","",IF([9]設定!$H38="",INDEX([9]第３表!$F$80:$Q$136,MATCH([9]設定!$D38,[9]第３表!$C$80:$C$136,0),1),[9]設定!$H38))</f>
        <v>18.2</v>
      </c>
      <c r="F24" s="52">
        <f>IF($D24="","",IF([9]設定!$H38="",INDEX([9]第３表!$F$80:$Q$136,MATCH([9]設定!$D38,[9]第３表!$C$80:$C$136,0),2),[9]設定!$H38))</f>
        <v>136</v>
      </c>
      <c r="G24" s="52">
        <f>IF($D24="","",IF([9]設定!$H38="",INDEX([9]第３表!$F$80:$Q$136,MATCH([9]設定!$D38,[9]第３表!$C$80:$C$136,0),3),[9]設定!$H38))</f>
        <v>128.4</v>
      </c>
      <c r="H24" s="53">
        <f>IF($D24="","",IF([9]設定!$H38="",INDEX([9]第３表!$F$80:$Q$136,MATCH([9]設定!$D38,[9]第３表!$C$80:$C$136,0),4),[9]設定!$H38))</f>
        <v>7.6</v>
      </c>
      <c r="I24" s="54">
        <f>IF($D24="","",IF([9]設定!$H38="",INDEX([9]第３表!$F$80:$Q$136,MATCH([9]設定!$D38,[9]第３表!$C$80:$C$136,0),5),[9]設定!$H38))</f>
        <v>18.600000000000001</v>
      </c>
      <c r="J24" s="54">
        <f>IF($D24="","",IF([9]設定!$H38="",INDEX([9]第３表!$F$80:$Q$136,MATCH([9]設定!$D38,[9]第３表!$C$80:$C$136,0),6),[9]設定!$H38))</f>
        <v>151.4</v>
      </c>
      <c r="K24" s="54">
        <f>IF($D24="","",IF([9]設定!$H38="",INDEX([9]第３表!$F$80:$Q$136,MATCH([9]設定!$D38,[9]第３表!$C$80:$C$136,0),7),[9]設定!$H38))</f>
        <v>140.30000000000001</v>
      </c>
      <c r="L24" s="55">
        <f>IF($D24="","",IF([9]設定!$H38="",INDEX([9]第３表!$F$80:$Q$136,MATCH([9]設定!$D38,[9]第３表!$C$80:$C$136,0),8),[9]設定!$H38))</f>
        <v>11.1</v>
      </c>
      <c r="M24" s="56">
        <f>IF($D24="","",IF([9]設定!$H38="",INDEX([9]第３表!$F$80:$Q$136,MATCH([9]設定!$D38,[9]第３表!$C$80:$C$136,0),9),[9]設定!$H38))</f>
        <v>17.8</v>
      </c>
      <c r="N24" s="56">
        <f>IF($D24="","",IF([9]設定!$H38="",INDEX([9]第３表!$F$80:$Q$136,MATCH([9]設定!$D38,[9]第３表!$C$80:$C$136,0),10),[9]設定!$H38))</f>
        <v>120.9</v>
      </c>
      <c r="O24" s="56">
        <f>IF($D24="","",IF([9]設定!$H38="",INDEX([9]第３表!$F$80:$Q$136,MATCH([9]設定!$D38,[9]第３表!$C$80:$C$136,0),11),[9]設定!$H38))</f>
        <v>116.6</v>
      </c>
      <c r="P24" s="57">
        <f>IF($D24="","",IF([9]設定!$H38="",INDEX([9]第３表!$F$80:$Q$136,MATCH([9]設定!$D38,[9]第３表!$C$80:$C$136,0),12),[9]設定!$H38))</f>
        <v>4.3</v>
      </c>
    </row>
    <row r="25" spans="2:16" s="8" customFormat="1" ht="17.25" customHeight="1" x14ac:dyDescent="0.45">
      <c r="B25" s="45" t="str">
        <f>+[10]第５表!B25</f>
        <v>E09,10</v>
      </c>
      <c r="C25" s="46"/>
      <c r="D25" s="63" t="str">
        <f>+[10]第５表!D25</f>
        <v>食料品・たばこ</v>
      </c>
      <c r="E25" s="48">
        <f>IF($D25="","",IF([9]設定!$H39="",INDEX([9]第３表!$F$80:$Q$136,MATCH([9]設定!$D39,[9]第３表!$C$80:$C$136,0),1),[9]設定!$H39))</f>
        <v>17.8</v>
      </c>
      <c r="F25" s="48">
        <f>IF($D25="","",IF([9]設定!$H39="",INDEX([9]第３表!$F$80:$Q$136,MATCH([9]設定!$D39,[9]第３表!$C$80:$C$136,0),2),[9]設定!$H39))</f>
        <v>137.6</v>
      </c>
      <c r="G25" s="48">
        <f>IF($D25="","",IF([9]設定!$H39="",INDEX([9]第３表!$F$80:$Q$136,MATCH([9]設定!$D39,[9]第３表!$C$80:$C$136,0),3),[9]設定!$H39))</f>
        <v>128.69999999999999</v>
      </c>
      <c r="H25" s="64">
        <f>IF($D25="","",IF([9]設定!$H39="",INDEX([9]第３表!$F$80:$Q$136,MATCH([9]設定!$D39,[9]第３表!$C$80:$C$136,0),4),[9]設定!$H39))</f>
        <v>8.9</v>
      </c>
      <c r="I25" s="48">
        <f>IF($D25="","",IF([9]設定!$H39="",INDEX([9]第３表!$F$80:$Q$136,MATCH([9]設定!$D39,[9]第３表!$C$80:$C$136,0),5),[9]設定!$H39))</f>
        <v>18.7</v>
      </c>
      <c r="J25" s="48">
        <f>IF($D25="","",IF([9]設定!$H39="",INDEX([9]第３表!$F$80:$Q$136,MATCH([9]設定!$D39,[9]第３表!$C$80:$C$136,0),6),[9]設定!$H39))</f>
        <v>155.1</v>
      </c>
      <c r="K25" s="48">
        <f>IF($D25="","",IF([9]設定!$H39="",INDEX([9]第３表!$F$80:$Q$136,MATCH([9]設定!$D39,[9]第３表!$C$80:$C$136,0),7),[9]設定!$H39))</f>
        <v>141.30000000000001</v>
      </c>
      <c r="L25" s="64">
        <f>IF($D25="","",IF([9]設定!$H39="",INDEX([9]第３表!$F$80:$Q$136,MATCH([9]設定!$D39,[9]第３表!$C$80:$C$136,0),8),[9]設定!$H39))</f>
        <v>13.8</v>
      </c>
      <c r="M25" s="48">
        <f>IF($D25="","",IF([9]設定!$H39="",INDEX([9]第３表!$F$80:$Q$136,MATCH([9]設定!$D39,[9]第３表!$C$80:$C$136,0),9),[9]設定!$H39))</f>
        <v>17.2</v>
      </c>
      <c r="N25" s="48">
        <f>IF($D25="","",IF([9]設定!$H39="",INDEX([9]第３表!$F$80:$Q$136,MATCH([9]設定!$D39,[9]第３表!$C$80:$C$136,0),10),[9]設定!$H39))</f>
        <v>125.3</v>
      </c>
      <c r="O25" s="48">
        <f>IF($D25="","",IF([9]設定!$H39="",INDEX([9]第３表!$F$80:$Q$136,MATCH([9]設定!$D39,[9]第３表!$C$80:$C$136,0),11),[9]設定!$H39))</f>
        <v>119.9</v>
      </c>
      <c r="P25" s="64">
        <f>IF($D25="","",IF([9]設定!$H39="",INDEX([9]第３表!$F$80:$Q$136,MATCH([9]設定!$D39,[9]第３表!$C$80:$C$136,0),12),[9]設定!$H39))</f>
        <v>5.4</v>
      </c>
    </row>
    <row r="26" spans="2:16" s="8" customFormat="1" ht="17.25" customHeight="1" x14ac:dyDescent="0.45">
      <c r="B26" s="49" t="str">
        <f>+[10]第５表!B26</f>
        <v>E11</v>
      </c>
      <c r="C26" s="50"/>
      <c r="D26" s="65" t="str">
        <f>+[10]第５表!D26</f>
        <v>繊維工業</v>
      </c>
      <c r="E26" s="52">
        <f>IF($D26="","",IF([9]設定!$H40="",INDEX([9]第３表!$F$80:$Q$136,MATCH([9]設定!$D40,[9]第３表!$C$80:$C$136,0),1),[9]設定!$H40))</f>
        <v>18.3</v>
      </c>
      <c r="F26" s="52">
        <f>IF($D26="","",IF([9]設定!$H40="",INDEX([9]第３表!$F$80:$Q$136,MATCH([9]設定!$D40,[9]第３表!$C$80:$C$136,0),2),[9]設定!$H40))</f>
        <v>146.80000000000001</v>
      </c>
      <c r="G26" s="52">
        <f>IF($D26="","",IF([9]設定!$H40="",INDEX([9]第３表!$F$80:$Q$136,MATCH([9]設定!$D40,[9]第３表!$C$80:$C$136,0),3),[9]設定!$H40))</f>
        <v>136.19999999999999</v>
      </c>
      <c r="H26" s="55">
        <f>IF($D26="","",IF([9]設定!$H40="",INDEX([9]第３表!$F$80:$Q$136,MATCH([9]設定!$D40,[9]第３表!$C$80:$C$136,0),4),[9]設定!$H40))</f>
        <v>10.6</v>
      </c>
      <c r="I26" s="52">
        <f>IF($D26="","",IF([9]設定!$H40="",INDEX([9]第３表!$F$80:$Q$136,MATCH([9]設定!$D40,[9]第３表!$C$80:$C$136,0),5),[9]設定!$H40))</f>
        <v>19</v>
      </c>
      <c r="J26" s="52">
        <f>IF($D26="","",IF([9]設定!$H40="",INDEX([9]第３表!$F$80:$Q$136,MATCH([9]設定!$D40,[9]第３表!$C$80:$C$136,0),6),[9]設定!$H40))</f>
        <v>155.69999999999999</v>
      </c>
      <c r="K26" s="52">
        <f>IF($D26="","",IF([9]設定!$H40="",INDEX([9]第３表!$F$80:$Q$136,MATCH([9]設定!$D40,[9]第３表!$C$80:$C$136,0),7),[9]設定!$H40))</f>
        <v>142</v>
      </c>
      <c r="L26" s="55">
        <f>IF($D26="","",IF([9]設定!$H40="",INDEX([9]第３表!$F$80:$Q$136,MATCH([9]設定!$D40,[9]第３表!$C$80:$C$136,0),8),[9]設定!$H40))</f>
        <v>13.7</v>
      </c>
      <c r="M26" s="52">
        <f>IF($D26="","",IF([9]設定!$H40="",INDEX([9]第３表!$F$80:$Q$136,MATCH([9]設定!$D40,[9]第３表!$C$80:$C$136,0),9),[9]設定!$H40))</f>
        <v>17.8</v>
      </c>
      <c r="N26" s="52">
        <f>IF($D26="","",IF([9]設定!$H40="",INDEX([9]第３表!$F$80:$Q$136,MATCH([9]設定!$D40,[9]第３表!$C$80:$C$136,0),10),[9]設定!$H40))</f>
        <v>141.6</v>
      </c>
      <c r="O26" s="52">
        <f>IF($D26="","",IF([9]設定!$H40="",INDEX([9]第３表!$F$80:$Q$136,MATCH([9]設定!$D40,[9]第３表!$C$80:$C$136,0),11),[9]設定!$H40))</f>
        <v>132.80000000000001</v>
      </c>
      <c r="P26" s="55">
        <f>IF($D26="","",IF([9]設定!$H40="",INDEX([9]第３表!$F$80:$Q$136,MATCH([9]設定!$D40,[9]第３表!$C$80:$C$136,0),12),[9]設定!$H40))</f>
        <v>8.8000000000000007</v>
      </c>
    </row>
    <row r="27" spans="2:16" s="8" customFormat="1" ht="17.25" customHeight="1" x14ac:dyDescent="0.45">
      <c r="B27" s="49" t="str">
        <f>+[10]第５表!B27</f>
        <v>E12</v>
      </c>
      <c r="C27" s="50"/>
      <c r="D27" s="65" t="str">
        <f>+[10]第５表!D27</f>
        <v>木材・木製品</v>
      </c>
      <c r="E27" s="52">
        <f>IF($D27="","",IF([9]設定!$H41="",INDEX([9]第３表!$F$80:$Q$136,MATCH([9]設定!$D41,[9]第３表!$C$80:$C$136,0),1),[9]設定!$H41))</f>
        <v>17.600000000000001</v>
      </c>
      <c r="F27" s="52">
        <f>IF($D27="","",IF([9]設定!$H41="",INDEX([9]第３表!$F$80:$Q$136,MATCH([9]設定!$D41,[9]第３表!$C$80:$C$136,0),2),[9]設定!$H41))</f>
        <v>140.5</v>
      </c>
      <c r="G27" s="52">
        <f>IF($D27="","",IF([9]設定!$H41="",INDEX([9]第３表!$F$80:$Q$136,MATCH([9]設定!$D41,[9]第３表!$C$80:$C$136,0),3),[9]設定!$H41))</f>
        <v>130.19999999999999</v>
      </c>
      <c r="H27" s="55">
        <f>IF($D27="","",IF([9]設定!$H41="",INDEX([9]第３表!$F$80:$Q$136,MATCH([9]設定!$D41,[9]第３表!$C$80:$C$136,0),4),[9]設定!$H41))</f>
        <v>10.3</v>
      </c>
      <c r="I27" s="52">
        <f>IF($D27="","",IF([9]設定!$H41="",INDEX([9]第３表!$F$80:$Q$136,MATCH([9]設定!$D41,[9]第３表!$C$80:$C$136,0),5),[9]設定!$H41))</f>
        <v>17.3</v>
      </c>
      <c r="J27" s="52">
        <f>IF($D27="","",IF([9]設定!$H41="",INDEX([9]第３表!$F$80:$Q$136,MATCH([9]設定!$D41,[9]第３表!$C$80:$C$136,0),6),[9]設定!$H41))</f>
        <v>144</v>
      </c>
      <c r="K27" s="52">
        <f>IF($D27="","",IF([9]設定!$H41="",INDEX([9]第３表!$F$80:$Q$136,MATCH([9]設定!$D41,[9]第３表!$C$80:$C$136,0),7),[9]設定!$H41))</f>
        <v>130.30000000000001</v>
      </c>
      <c r="L27" s="55">
        <f>IF($D27="","",IF([9]設定!$H41="",INDEX([9]第３表!$F$80:$Q$136,MATCH([9]設定!$D41,[9]第３表!$C$80:$C$136,0),8),[9]設定!$H41))</f>
        <v>13.7</v>
      </c>
      <c r="M27" s="52">
        <f>IF($D27="","",IF([9]設定!$H41="",INDEX([9]第３表!$F$80:$Q$136,MATCH([9]設定!$D41,[9]第３表!$C$80:$C$136,0),9),[9]設定!$H41))</f>
        <v>18.3</v>
      </c>
      <c r="N27" s="52">
        <f>IF($D27="","",IF([9]設定!$H41="",INDEX([9]第３表!$F$80:$Q$136,MATCH([9]設定!$D41,[9]第３表!$C$80:$C$136,0),10),[9]設定!$H41))</f>
        <v>133.19999999999999</v>
      </c>
      <c r="O27" s="52">
        <f>IF($D27="","",IF([9]設定!$H41="",INDEX([9]第３表!$F$80:$Q$136,MATCH([9]設定!$D41,[9]第３表!$C$80:$C$136,0),11),[9]設定!$H41))</f>
        <v>129.9</v>
      </c>
      <c r="P27" s="55">
        <f>IF($D27="","",IF([9]設定!$H41="",INDEX([9]第３表!$F$80:$Q$136,MATCH([9]設定!$D41,[9]第３表!$C$80:$C$136,0),12),[9]設定!$H41))</f>
        <v>3.3</v>
      </c>
    </row>
    <row r="28" spans="2:16" s="8" customFormat="1" ht="17.25" customHeight="1" x14ac:dyDescent="0.45">
      <c r="B28" s="49" t="str">
        <f>+[10]第５表!B28</f>
        <v>E13</v>
      </c>
      <c r="C28" s="50"/>
      <c r="D28" s="65" t="str">
        <f>+[10]第５表!D28</f>
        <v>家具・装備品</v>
      </c>
      <c r="E28" s="52" t="str">
        <f>IF($D28="","",IF([9]設定!$H42="",INDEX([9]第３表!$F$80:$Q$136,MATCH([9]設定!$D42,[9]第３表!$C$80:$C$136,0),1),[9]設定!$H42))</f>
        <v>x</v>
      </c>
      <c r="F28" s="52" t="str">
        <f>IF($D28="","",IF([9]設定!$H42="",INDEX([9]第３表!$F$80:$Q$136,MATCH([9]設定!$D42,[9]第３表!$C$80:$C$136,0),2),[9]設定!$H42))</f>
        <v>x</v>
      </c>
      <c r="G28" s="52" t="str">
        <f>IF($D28="","",IF([9]設定!$H42="",INDEX([9]第３表!$F$80:$Q$136,MATCH([9]設定!$D42,[9]第３表!$C$80:$C$136,0),3),[9]設定!$H42))</f>
        <v>x</v>
      </c>
      <c r="H28" s="55" t="str">
        <f>IF($D28="","",IF([9]設定!$H42="",INDEX([9]第３表!$F$80:$Q$136,MATCH([9]設定!$D42,[9]第３表!$C$80:$C$136,0),4),[9]設定!$H42))</f>
        <v>x</v>
      </c>
      <c r="I28" s="52" t="str">
        <f>IF($D28="","",IF([9]設定!$H42="",INDEX([9]第３表!$F$80:$Q$136,MATCH([9]設定!$D42,[9]第３表!$C$80:$C$136,0),5),[9]設定!$H42))</f>
        <v>x</v>
      </c>
      <c r="J28" s="52" t="str">
        <f>IF($D28="","",IF([9]設定!$H42="",INDEX([9]第３表!$F$80:$Q$136,MATCH([9]設定!$D42,[9]第３表!$C$80:$C$136,0),6),[9]設定!$H42))</f>
        <v>x</v>
      </c>
      <c r="K28" s="52" t="str">
        <f>IF($D28="","",IF([9]設定!$H42="",INDEX([9]第３表!$F$80:$Q$136,MATCH([9]設定!$D42,[9]第３表!$C$80:$C$136,0),7),[9]設定!$H42))</f>
        <v>x</v>
      </c>
      <c r="L28" s="55" t="str">
        <f>IF($D28="","",IF([9]設定!$H42="",INDEX([9]第３表!$F$80:$Q$136,MATCH([9]設定!$D42,[9]第３表!$C$80:$C$136,0),8),[9]設定!$H42))</f>
        <v>x</v>
      </c>
      <c r="M28" s="52" t="str">
        <f>IF($D28="","",IF([9]設定!$H42="",INDEX([9]第３表!$F$80:$Q$136,MATCH([9]設定!$D42,[9]第３表!$C$80:$C$136,0),9),[9]設定!$H42))</f>
        <v>x</v>
      </c>
      <c r="N28" s="52" t="str">
        <f>IF($D28="","",IF([9]設定!$H42="",INDEX([9]第３表!$F$80:$Q$136,MATCH([9]設定!$D42,[9]第３表!$C$80:$C$136,0),10),[9]設定!$H42))</f>
        <v>x</v>
      </c>
      <c r="O28" s="52" t="str">
        <f>IF($D28="","",IF([9]設定!$H42="",INDEX([9]第３表!$F$80:$Q$136,MATCH([9]設定!$D42,[9]第３表!$C$80:$C$136,0),11),[9]設定!$H42))</f>
        <v>x</v>
      </c>
      <c r="P28" s="55" t="str">
        <f>IF($D28="","",IF([9]設定!$H42="",INDEX([9]第３表!$F$80:$Q$136,MATCH([9]設定!$D42,[9]第３表!$C$80:$C$136,0),12),[9]設定!$H42))</f>
        <v>x</v>
      </c>
    </row>
    <row r="29" spans="2:16" s="8" customFormat="1" ht="17.25" customHeight="1" x14ac:dyDescent="0.45">
      <c r="B29" s="49" t="str">
        <f>+[10]第５表!B29</f>
        <v>E15</v>
      </c>
      <c r="C29" s="50"/>
      <c r="D29" s="65" t="str">
        <f>+[10]第５表!D29</f>
        <v>印刷・同関連業</v>
      </c>
      <c r="E29" s="52">
        <f>IF($D29="","",IF([9]設定!$H43="",INDEX([9]第３表!$F$80:$Q$136,MATCH([9]設定!$D43,[9]第３表!$C$80:$C$136,0),1),[9]設定!$H43))</f>
        <v>20.6</v>
      </c>
      <c r="F29" s="52">
        <f>IF($D29="","",IF([9]設定!$H43="",INDEX([9]第３表!$F$80:$Q$136,MATCH([9]設定!$D43,[9]第３表!$C$80:$C$136,0),2),[9]設定!$H43))</f>
        <v>165.2</v>
      </c>
      <c r="G29" s="52">
        <f>IF($D29="","",IF([9]設定!$H43="",INDEX([9]第３表!$F$80:$Q$136,MATCH([9]設定!$D43,[9]第３表!$C$80:$C$136,0),3),[9]設定!$H43))</f>
        <v>156.5</v>
      </c>
      <c r="H29" s="55">
        <f>IF($D29="","",IF([9]設定!$H43="",INDEX([9]第３表!$F$80:$Q$136,MATCH([9]設定!$D43,[9]第３表!$C$80:$C$136,0),4),[9]設定!$H43))</f>
        <v>8.6999999999999993</v>
      </c>
      <c r="I29" s="52">
        <f>IF($D29="","",IF([9]設定!$H43="",INDEX([9]第３表!$F$80:$Q$136,MATCH([9]設定!$D43,[9]第３表!$C$80:$C$136,0),5),[9]設定!$H43))</f>
        <v>20.5</v>
      </c>
      <c r="J29" s="52">
        <f>IF($D29="","",IF([9]設定!$H43="",INDEX([9]第３表!$F$80:$Q$136,MATCH([9]設定!$D43,[9]第３表!$C$80:$C$136,0),6),[9]設定!$H43))</f>
        <v>167.4</v>
      </c>
      <c r="K29" s="52">
        <f>IF($D29="","",IF([9]設定!$H43="",INDEX([9]第３表!$F$80:$Q$136,MATCH([9]設定!$D43,[9]第３表!$C$80:$C$136,0),7),[9]設定!$H43))</f>
        <v>157.4</v>
      </c>
      <c r="L29" s="55">
        <f>IF($D29="","",IF([9]設定!$H43="",INDEX([9]第３表!$F$80:$Q$136,MATCH([9]設定!$D43,[9]第３表!$C$80:$C$136,0),8),[9]設定!$H43))</f>
        <v>10</v>
      </c>
      <c r="M29" s="52">
        <f>IF($D29="","",IF([9]設定!$H43="",INDEX([9]第３表!$F$80:$Q$136,MATCH([9]設定!$D43,[9]第３表!$C$80:$C$136,0),9),[9]設定!$H43))</f>
        <v>20.9</v>
      </c>
      <c r="N29" s="52">
        <f>IF($D29="","",IF([9]設定!$H43="",INDEX([9]第３表!$F$80:$Q$136,MATCH([9]設定!$D43,[9]第３表!$C$80:$C$136,0),10),[9]設定!$H43))</f>
        <v>159.4</v>
      </c>
      <c r="O29" s="52">
        <f>IF($D29="","",IF([9]設定!$H43="",INDEX([9]第３表!$F$80:$Q$136,MATCH([9]設定!$D43,[9]第３表!$C$80:$C$136,0),11),[9]設定!$H43))</f>
        <v>153.9</v>
      </c>
      <c r="P29" s="55">
        <f>IF($D29="","",IF([9]設定!$H43="",INDEX([9]第３表!$F$80:$Q$136,MATCH([9]設定!$D43,[9]第３表!$C$80:$C$136,0),12),[9]設定!$H43))</f>
        <v>5.5</v>
      </c>
    </row>
    <row r="30" spans="2:16" s="8" customFormat="1" ht="17.25" customHeight="1" x14ac:dyDescent="0.45">
      <c r="B30" s="49" t="str">
        <f>+[10]第５表!B30</f>
        <v>E16,17</v>
      </c>
      <c r="C30" s="50"/>
      <c r="D30" s="65" t="str">
        <f>+[10]第５表!D30</f>
        <v>化学、石油・石炭</v>
      </c>
      <c r="E30" s="52">
        <f>IF($D30="","",IF([9]設定!$H44="",INDEX([9]第３表!$F$80:$Q$136,MATCH([9]設定!$D44,[9]第３表!$C$80:$C$136,0),1),[9]設定!$H44))</f>
        <v>18.399999999999999</v>
      </c>
      <c r="F30" s="52">
        <f>IF($D30="","",IF([9]設定!$H44="",INDEX([9]第３表!$F$80:$Q$136,MATCH([9]設定!$D44,[9]第３表!$C$80:$C$136,0),2),[9]設定!$H44))</f>
        <v>150.5</v>
      </c>
      <c r="G30" s="52">
        <f>IF($D30="","",IF([9]設定!$H44="",INDEX([9]第３表!$F$80:$Q$136,MATCH([9]設定!$D44,[9]第３表!$C$80:$C$136,0),3),[9]設定!$H44))</f>
        <v>133.5</v>
      </c>
      <c r="H30" s="55">
        <f>IF($D30="","",IF([9]設定!$H44="",INDEX([9]第３表!$F$80:$Q$136,MATCH([9]設定!$D44,[9]第３表!$C$80:$C$136,0),4),[9]設定!$H44))</f>
        <v>17</v>
      </c>
      <c r="I30" s="52">
        <f>IF($D30="","",IF([9]設定!$H44="",INDEX([9]第３表!$F$80:$Q$136,MATCH([9]設定!$D44,[9]第３表!$C$80:$C$136,0),5),[9]設定!$H44))</f>
        <v>18.399999999999999</v>
      </c>
      <c r="J30" s="52">
        <f>IF($D30="","",IF([9]設定!$H44="",INDEX([9]第３表!$F$80:$Q$136,MATCH([9]設定!$D44,[9]第３表!$C$80:$C$136,0),6),[9]設定!$H44))</f>
        <v>151.5</v>
      </c>
      <c r="K30" s="52">
        <f>IF($D30="","",IF([9]設定!$H44="",INDEX([9]第３表!$F$80:$Q$136,MATCH([9]設定!$D44,[9]第３表!$C$80:$C$136,0),7),[9]設定!$H44))</f>
        <v>133.6</v>
      </c>
      <c r="L30" s="55">
        <f>IF($D30="","",IF([9]設定!$H44="",INDEX([9]第３表!$F$80:$Q$136,MATCH([9]設定!$D44,[9]第３表!$C$80:$C$136,0),8),[9]設定!$H44))</f>
        <v>17.899999999999999</v>
      </c>
      <c r="M30" s="52">
        <f>IF($D30="","",IF([9]設定!$H44="",INDEX([9]第３表!$F$80:$Q$136,MATCH([9]設定!$D44,[9]第３表!$C$80:$C$136,0),9),[9]設定!$H44))</f>
        <v>17.600000000000001</v>
      </c>
      <c r="N30" s="52">
        <f>IF($D30="","",IF([9]設定!$H44="",INDEX([9]第３表!$F$80:$Q$136,MATCH([9]設定!$D44,[9]第３表!$C$80:$C$136,0),10),[9]設定!$H44))</f>
        <v>136.9</v>
      </c>
      <c r="O30" s="52">
        <f>IF($D30="","",IF([9]設定!$H44="",INDEX([9]第３表!$F$80:$Q$136,MATCH([9]設定!$D44,[9]第３表!$C$80:$C$136,0),11),[9]設定!$H44))</f>
        <v>131.1</v>
      </c>
      <c r="P30" s="55">
        <f>IF($D30="","",IF([9]設定!$H44="",INDEX([9]第３表!$F$80:$Q$136,MATCH([9]設定!$D44,[9]第３表!$C$80:$C$136,0),12),[9]設定!$H44))</f>
        <v>5.8</v>
      </c>
    </row>
    <row r="31" spans="2:16" s="8" customFormat="1" ht="17.25" customHeight="1" x14ac:dyDescent="0.45">
      <c r="B31" s="49" t="str">
        <f>+[10]第５表!B31</f>
        <v>E18</v>
      </c>
      <c r="C31" s="50"/>
      <c r="D31" s="65" t="str">
        <f>+[10]第５表!D31</f>
        <v>プラスチック製品</v>
      </c>
      <c r="E31" s="52">
        <f>IF($D31="","",IF([9]設定!$H45="",INDEX([9]第３表!$F$80:$Q$136,MATCH([9]設定!$D45,[9]第３表!$C$80:$C$136,0),1),[9]設定!$H45))</f>
        <v>19.100000000000001</v>
      </c>
      <c r="F31" s="52">
        <f>IF($D31="","",IF([9]設定!$H45="",INDEX([9]第３表!$F$80:$Q$136,MATCH([9]設定!$D45,[9]第３表!$C$80:$C$136,0),2),[9]設定!$H45))</f>
        <v>148.1</v>
      </c>
      <c r="G31" s="52">
        <f>IF($D31="","",IF([9]設定!$H45="",INDEX([9]第３表!$F$80:$Q$136,MATCH([9]設定!$D45,[9]第３表!$C$80:$C$136,0),3),[9]設定!$H45))</f>
        <v>138.9</v>
      </c>
      <c r="H31" s="55">
        <f>IF($D31="","",IF([9]設定!$H45="",INDEX([9]第３表!$F$80:$Q$136,MATCH([9]設定!$D45,[9]第３表!$C$80:$C$136,0),4),[9]設定!$H45))</f>
        <v>9.1999999999999993</v>
      </c>
      <c r="I31" s="52">
        <f>IF($D31="","",IF([9]設定!$H45="",INDEX([9]第３表!$F$80:$Q$136,MATCH([9]設定!$D45,[9]第３表!$C$80:$C$136,0),5),[9]設定!$H45))</f>
        <v>19.399999999999999</v>
      </c>
      <c r="J31" s="52">
        <f>IF($D31="","",IF([9]設定!$H45="",INDEX([9]第３表!$F$80:$Q$136,MATCH([9]設定!$D45,[9]第３表!$C$80:$C$136,0),6),[9]設定!$H45))</f>
        <v>157.4</v>
      </c>
      <c r="K31" s="52">
        <f>IF($D31="","",IF([9]設定!$H45="",INDEX([9]第３表!$F$80:$Q$136,MATCH([9]設定!$D45,[9]第３表!$C$80:$C$136,0),7),[9]設定!$H45))</f>
        <v>145.19999999999999</v>
      </c>
      <c r="L31" s="55">
        <f>IF($D31="","",IF([9]設定!$H45="",INDEX([9]第３表!$F$80:$Q$136,MATCH([9]設定!$D45,[9]第３表!$C$80:$C$136,0),8),[9]設定!$H45))</f>
        <v>12.2</v>
      </c>
      <c r="M31" s="52">
        <f>IF($D31="","",IF([9]設定!$H45="",INDEX([9]第３表!$F$80:$Q$136,MATCH([9]設定!$D45,[9]第３表!$C$80:$C$136,0),9),[9]設定!$H45))</f>
        <v>18.399999999999999</v>
      </c>
      <c r="N31" s="52">
        <f>IF($D31="","",IF([9]設定!$H45="",INDEX([9]第３表!$F$80:$Q$136,MATCH([9]設定!$D45,[9]第３表!$C$80:$C$136,0),10),[9]設定!$H45))</f>
        <v>123.9</v>
      </c>
      <c r="O31" s="52">
        <f>IF($D31="","",IF([9]設定!$H45="",INDEX([9]第３表!$F$80:$Q$136,MATCH([9]設定!$D45,[9]第３表!$C$80:$C$136,0),11),[9]設定!$H45))</f>
        <v>122.5</v>
      </c>
      <c r="P31" s="55">
        <f>IF($D31="","",IF([9]設定!$H45="",INDEX([9]第３表!$F$80:$Q$136,MATCH([9]設定!$D45,[9]第３表!$C$80:$C$136,0),12),[9]設定!$H45))</f>
        <v>1.4</v>
      </c>
    </row>
    <row r="32" spans="2:16" s="8" customFormat="1" ht="17.25" customHeight="1" x14ac:dyDescent="0.45">
      <c r="B32" s="49" t="str">
        <f>+[10]第５表!B32</f>
        <v>E19</v>
      </c>
      <c r="C32" s="50"/>
      <c r="D32" s="65" t="str">
        <f>+[10]第５表!D32</f>
        <v>ゴム製品</v>
      </c>
      <c r="E32" s="52">
        <f>IF($D32="","",IF([9]設定!$H46="",INDEX([9]第３表!$F$80:$Q$136,MATCH([9]設定!$D46,[9]第３表!$C$80:$C$136,0),1),[9]設定!$H46))</f>
        <v>18.7</v>
      </c>
      <c r="F32" s="52">
        <f>IF($D32="","",IF([9]設定!$H46="",INDEX([9]第３表!$F$80:$Q$136,MATCH([9]設定!$D46,[9]第３表!$C$80:$C$136,0),2),[9]設定!$H46))</f>
        <v>159</v>
      </c>
      <c r="G32" s="52">
        <f>IF($D32="","",IF([9]設定!$H46="",INDEX([9]第３表!$F$80:$Q$136,MATCH([9]設定!$D46,[9]第３表!$C$80:$C$136,0),3),[9]設定!$H46))</f>
        <v>137.69999999999999</v>
      </c>
      <c r="H32" s="55">
        <f>IF($D32="","",IF([9]設定!$H46="",INDEX([9]第３表!$F$80:$Q$136,MATCH([9]設定!$D46,[9]第３表!$C$80:$C$136,0),4),[9]設定!$H46))</f>
        <v>21.3</v>
      </c>
      <c r="I32" s="52">
        <f>IF($D32="","",IF([9]設定!$H46="",INDEX([9]第３表!$F$80:$Q$136,MATCH([9]設定!$D46,[9]第３表!$C$80:$C$136,0),5),[9]設定!$H46))</f>
        <v>18.899999999999999</v>
      </c>
      <c r="J32" s="52">
        <f>IF($D32="","",IF([9]設定!$H46="",INDEX([9]第３表!$F$80:$Q$136,MATCH([9]設定!$D46,[9]第３表!$C$80:$C$136,0),6),[9]設定!$H46))</f>
        <v>161.4</v>
      </c>
      <c r="K32" s="52">
        <f>IF($D32="","",IF([9]設定!$H46="",INDEX([9]第３表!$F$80:$Q$136,MATCH([9]設定!$D46,[9]第３表!$C$80:$C$136,0),7),[9]設定!$H46))</f>
        <v>138</v>
      </c>
      <c r="L32" s="55">
        <f>IF($D32="","",IF([9]設定!$H46="",INDEX([9]第３表!$F$80:$Q$136,MATCH([9]設定!$D46,[9]第３表!$C$80:$C$136,0),8),[9]設定!$H46))</f>
        <v>23.4</v>
      </c>
      <c r="M32" s="52">
        <f>IF($D32="","",IF([9]設定!$H46="",INDEX([9]第３表!$F$80:$Q$136,MATCH([9]設定!$D46,[9]第３表!$C$80:$C$136,0),9),[9]設定!$H46))</f>
        <v>17.8</v>
      </c>
      <c r="N32" s="52">
        <f>IF($D32="","",IF([9]設定!$H46="",INDEX([9]第３表!$F$80:$Q$136,MATCH([9]設定!$D46,[9]第３表!$C$80:$C$136,0),10),[9]設定!$H46))</f>
        <v>143</v>
      </c>
      <c r="O32" s="52">
        <f>IF($D32="","",IF([9]設定!$H46="",INDEX([9]第３表!$F$80:$Q$136,MATCH([9]設定!$D46,[9]第３表!$C$80:$C$136,0),11),[9]設定!$H46))</f>
        <v>135.80000000000001</v>
      </c>
      <c r="P32" s="55">
        <f>IF($D32="","",IF([9]設定!$H46="",INDEX([9]第３表!$F$80:$Q$136,MATCH([9]設定!$D46,[9]第３表!$C$80:$C$136,0),12),[9]設定!$H46))</f>
        <v>7.2</v>
      </c>
    </row>
    <row r="33" spans="2:17" s="8" customFormat="1" ht="17.25" customHeight="1" x14ac:dyDescent="0.45">
      <c r="B33" s="49" t="str">
        <f>+[10]第５表!B33</f>
        <v>E21</v>
      </c>
      <c r="C33" s="50"/>
      <c r="D33" s="65" t="str">
        <f>+[10]第５表!D33</f>
        <v>窯業・土石製品</v>
      </c>
      <c r="E33" s="52">
        <f>IF($D33="","",IF([9]設定!$H47="",INDEX([9]第３表!$F$80:$Q$136,MATCH([9]設定!$D47,[9]第３表!$C$80:$C$136,0),1),[9]設定!$H47))</f>
        <v>17.7</v>
      </c>
      <c r="F33" s="52">
        <f>IF($D33="","",IF([9]設定!$H47="",INDEX([9]第３表!$F$80:$Q$136,MATCH([9]設定!$D47,[9]第３表!$C$80:$C$136,0),2),[9]設定!$H47))</f>
        <v>147</v>
      </c>
      <c r="G33" s="52">
        <f>IF($D33="","",IF([9]設定!$H47="",INDEX([9]第３表!$F$80:$Q$136,MATCH([9]設定!$D47,[9]第３表!$C$80:$C$136,0),3),[9]設定!$H47))</f>
        <v>137.30000000000001</v>
      </c>
      <c r="H33" s="55">
        <f>IF($D33="","",IF([9]設定!$H47="",INDEX([9]第３表!$F$80:$Q$136,MATCH([9]設定!$D47,[9]第３表!$C$80:$C$136,0),4),[9]設定!$H47))</f>
        <v>9.6999999999999993</v>
      </c>
      <c r="I33" s="52">
        <f>IF($D33="","",IF([9]設定!$H47="",INDEX([9]第３表!$F$80:$Q$136,MATCH([9]設定!$D47,[9]第３表!$C$80:$C$136,0),5),[9]設定!$H47))</f>
        <v>17.7</v>
      </c>
      <c r="J33" s="52">
        <f>IF($D33="","",IF([9]設定!$H47="",INDEX([9]第３表!$F$80:$Q$136,MATCH([9]設定!$D47,[9]第３表!$C$80:$C$136,0),6),[9]設定!$H47))</f>
        <v>150.30000000000001</v>
      </c>
      <c r="K33" s="52">
        <f>IF($D33="","",IF([9]設定!$H47="",INDEX([9]第３表!$F$80:$Q$136,MATCH([9]設定!$D47,[9]第３表!$C$80:$C$136,0),7),[9]設定!$H47))</f>
        <v>137.9</v>
      </c>
      <c r="L33" s="55">
        <f>IF($D33="","",IF([9]設定!$H47="",INDEX([9]第３表!$F$80:$Q$136,MATCH([9]設定!$D47,[9]第３表!$C$80:$C$136,0),8),[9]設定!$H47))</f>
        <v>12.4</v>
      </c>
      <c r="M33" s="52">
        <f>IF($D33="","",IF([9]設定!$H47="",INDEX([9]第３表!$F$80:$Q$136,MATCH([9]設定!$D47,[9]第３表!$C$80:$C$136,0),9),[9]設定!$H47))</f>
        <v>17.7</v>
      </c>
      <c r="N33" s="52">
        <f>IF($D33="","",IF([9]設定!$H47="",INDEX([9]第３表!$F$80:$Q$136,MATCH([9]設定!$D47,[9]第３表!$C$80:$C$136,0),10),[9]設定!$H47))</f>
        <v>136.19999999999999</v>
      </c>
      <c r="O33" s="52">
        <f>IF($D33="","",IF([9]設定!$H47="",INDEX([9]第３表!$F$80:$Q$136,MATCH([9]設定!$D47,[9]第３表!$C$80:$C$136,0),11),[9]設定!$H47))</f>
        <v>135.5</v>
      </c>
      <c r="P33" s="55">
        <f>IF($D33="","",IF([9]設定!$H47="",INDEX([9]第３表!$F$80:$Q$136,MATCH([9]設定!$D47,[9]第３表!$C$80:$C$136,0),12),[9]設定!$H47))</f>
        <v>0.7</v>
      </c>
    </row>
    <row r="34" spans="2:17" s="8" customFormat="1" ht="17.25" customHeight="1" x14ac:dyDescent="0.45">
      <c r="B34" s="49" t="str">
        <f>+[10]第５表!B34</f>
        <v>E24</v>
      </c>
      <c r="C34" s="50"/>
      <c r="D34" s="65" t="str">
        <f>+[10]第５表!D34</f>
        <v>金属製品製造業</v>
      </c>
      <c r="E34" s="55">
        <f>IF($D34="","",IF([9]設定!$H48="",INDEX([9]第３表!$F$80:$Q$136,MATCH([9]設定!$D48,[9]第３表!$C$80:$C$136,0),1),[9]設定!$H48))</f>
        <v>19.2</v>
      </c>
      <c r="F34" s="55">
        <f>IF($D34="","",IF([9]設定!$H48="",INDEX([9]第３表!$F$80:$Q$136,MATCH([9]設定!$D48,[9]第３表!$C$80:$C$136,0),2),[9]設定!$H48))</f>
        <v>152.9</v>
      </c>
      <c r="G34" s="55">
        <f>IF($D34="","",IF([9]設定!$H48="",INDEX([9]第３表!$F$80:$Q$136,MATCH([9]設定!$D48,[9]第３表!$C$80:$C$136,0),3),[9]設定!$H48))</f>
        <v>141.5</v>
      </c>
      <c r="H34" s="55">
        <f>IF($D34="","",IF([9]設定!$H48="",INDEX([9]第３表!$F$80:$Q$136,MATCH([9]設定!$D48,[9]第３表!$C$80:$C$136,0),4),[9]設定!$H48))</f>
        <v>11.4</v>
      </c>
      <c r="I34" s="55">
        <f>IF($D34="","",IF([9]設定!$H48="",INDEX([9]第３表!$F$80:$Q$136,MATCH([9]設定!$D48,[9]第３表!$C$80:$C$136,0),5),[9]設定!$H48))</f>
        <v>18.899999999999999</v>
      </c>
      <c r="J34" s="55">
        <f>IF($D34="","",IF([9]設定!$H48="",INDEX([9]第３表!$F$80:$Q$136,MATCH([9]設定!$D48,[9]第３表!$C$80:$C$136,0),6),[9]設定!$H48))</f>
        <v>158.5</v>
      </c>
      <c r="K34" s="55">
        <f>IF($D34="","",IF([9]設定!$H48="",INDEX([9]第３表!$F$80:$Q$136,MATCH([9]設定!$D48,[9]第３表!$C$80:$C$136,0),7),[9]設定!$H48))</f>
        <v>143.80000000000001</v>
      </c>
      <c r="L34" s="55">
        <f>IF($D34="","",IF([9]設定!$H48="",INDEX([9]第３表!$F$80:$Q$136,MATCH([9]設定!$D48,[9]第３表!$C$80:$C$136,0),8),[9]設定!$H48))</f>
        <v>14.7</v>
      </c>
      <c r="M34" s="55">
        <f>IF($D34="","",IF([9]設定!$H48="",INDEX([9]第３表!$F$80:$Q$136,MATCH([9]設定!$D48,[9]第３表!$C$80:$C$136,0),9),[9]設定!$H48))</f>
        <v>20</v>
      </c>
      <c r="N34" s="55">
        <f>IF($D34="","",IF([9]設定!$H48="",INDEX([9]第３表!$F$80:$Q$136,MATCH([9]設定!$D48,[9]第３表!$C$80:$C$136,0),10),[9]設定!$H48))</f>
        <v>142</v>
      </c>
      <c r="O34" s="55">
        <f>IF($D34="","",IF([9]設定!$H48="",INDEX([9]第３表!$F$80:$Q$136,MATCH([9]設定!$D48,[9]第３表!$C$80:$C$136,0),11),[9]設定!$H48))</f>
        <v>137</v>
      </c>
      <c r="P34" s="55">
        <f>IF($D34="","",IF([9]設定!$H48="",INDEX([9]第３表!$F$80:$Q$136,MATCH([9]設定!$D48,[9]第３表!$C$80:$C$136,0),12),[9]設定!$H48))</f>
        <v>5</v>
      </c>
    </row>
    <row r="35" spans="2:17" s="8" customFormat="1" ht="17.25" customHeight="1" x14ac:dyDescent="0.45">
      <c r="B35" s="49" t="str">
        <f>+[10]第５表!B35</f>
        <v>E27</v>
      </c>
      <c r="C35" s="50"/>
      <c r="D35" s="65" t="str">
        <f>+[10]第５表!D35</f>
        <v>業務用機械器具</v>
      </c>
      <c r="E35" s="55">
        <f>IF($D35="","",IF([9]設定!$H49="",INDEX([9]第３表!$F$80:$Q$136,MATCH([9]設定!$D49,[9]第３表!$C$80:$C$136,0),1),[9]設定!$H49))</f>
        <v>16.600000000000001</v>
      </c>
      <c r="F35" s="55">
        <f>IF($D35="","",IF([9]設定!$H49="",INDEX([9]第３表!$F$80:$Q$136,MATCH([9]設定!$D49,[9]第３表!$C$80:$C$136,0),2),[9]設定!$H49))</f>
        <v>140.6</v>
      </c>
      <c r="G35" s="55">
        <f>IF($D35="","",IF([9]設定!$H49="",INDEX([9]第３表!$F$80:$Q$136,MATCH([9]設定!$D49,[9]第３表!$C$80:$C$136,0),3),[9]設定!$H49))</f>
        <v>130.5</v>
      </c>
      <c r="H35" s="55">
        <f>IF($D35="","",IF([9]設定!$H49="",INDEX([9]第３表!$F$80:$Q$136,MATCH([9]設定!$D49,[9]第３表!$C$80:$C$136,0),4),[9]設定!$H49))</f>
        <v>10.1</v>
      </c>
      <c r="I35" s="55">
        <f>IF($D35="","",IF([9]設定!$H49="",INDEX([9]第３表!$F$80:$Q$136,MATCH([9]設定!$D49,[9]第３表!$C$80:$C$136,0),5),[9]設定!$H49))</f>
        <v>17</v>
      </c>
      <c r="J35" s="55">
        <f>IF($D35="","",IF([9]設定!$H49="",INDEX([9]第３表!$F$80:$Q$136,MATCH([9]設定!$D49,[9]第３表!$C$80:$C$136,0),6),[9]設定!$H49))</f>
        <v>144.6</v>
      </c>
      <c r="K35" s="55">
        <f>IF($D35="","",IF([9]設定!$H49="",INDEX([9]第３表!$F$80:$Q$136,MATCH([9]設定!$D49,[9]第３表!$C$80:$C$136,0),7),[9]設定!$H49))</f>
        <v>132.1</v>
      </c>
      <c r="L35" s="55">
        <f>IF($D35="","",IF([9]設定!$H49="",INDEX([9]第３表!$F$80:$Q$136,MATCH([9]設定!$D49,[9]第３表!$C$80:$C$136,0),8),[9]設定!$H49))</f>
        <v>12.5</v>
      </c>
      <c r="M35" s="55">
        <f>IF($D35="","",IF([9]設定!$H49="",INDEX([9]第３表!$F$80:$Q$136,MATCH([9]設定!$D49,[9]第３表!$C$80:$C$136,0),9),[9]設定!$H49))</f>
        <v>16.3</v>
      </c>
      <c r="N35" s="55">
        <f>IF($D35="","",IF([9]設定!$H49="",INDEX([9]第３表!$F$80:$Q$136,MATCH([9]設定!$D49,[9]第３表!$C$80:$C$136,0),10),[9]設定!$H49))</f>
        <v>136.9</v>
      </c>
      <c r="O35" s="55">
        <f>IF($D35="","",IF([9]設定!$H49="",INDEX([9]第３表!$F$80:$Q$136,MATCH([9]設定!$D49,[9]第３表!$C$80:$C$136,0),11),[9]設定!$H49))</f>
        <v>129.1</v>
      </c>
      <c r="P35" s="55">
        <f>IF($D35="","",IF([9]設定!$H49="",INDEX([9]第３表!$F$80:$Q$136,MATCH([9]設定!$D49,[9]第３表!$C$80:$C$136,0),12),[9]設定!$H49))</f>
        <v>7.8</v>
      </c>
    </row>
    <row r="36" spans="2:17" s="8" customFormat="1" ht="17.25" customHeight="1" x14ac:dyDescent="0.45">
      <c r="B36" s="49" t="str">
        <f>+[10]第５表!B36</f>
        <v>E28</v>
      </c>
      <c r="C36" s="50"/>
      <c r="D36" s="65" t="str">
        <f>+[10]第５表!D36</f>
        <v>電子・デバイス</v>
      </c>
      <c r="E36" s="55">
        <f>IF($D36="","",IF([9]設定!$H50="",INDEX([9]第３表!$F$80:$Q$136,MATCH([9]設定!$D50,[9]第３表!$C$80:$C$136,0),1),[9]設定!$H50))</f>
        <v>17.7</v>
      </c>
      <c r="F36" s="55">
        <f>IF($D36="","",IF([9]設定!$H50="",INDEX([9]第３表!$F$80:$Q$136,MATCH([9]設定!$D50,[9]第３表!$C$80:$C$136,0),2),[9]設定!$H50))</f>
        <v>149.9</v>
      </c>
      <c r="G36" s="55">
        <f>IF($D36="","",IF([9]設定!$H50="",INDEX([9]第３表!$F$80:$Q$136,MATCH([9]設定!$D50,[9]第３表!$C$80:$C$136,0),3),[9]設定!$H50))</f>
        <v>138.1</v>
      </c>
      <c r="H36" s="55">
        <f>IF($D36="","",IF([9]設定!$H50="",INDEX([9]第３表!$F$80:$Q$136,MATCH([9]設定!$D50,[9]第３表!$C$80:$C$136,0),4),[9]設定!$H50))</f>
        <v>11.8</v>
      </c>
      <c r="I36" s="55">
        <f>IF($D36="","",IF([9]設定!$H50="",INDEX([9]第３表!$F$80:$Q$136,MATCH([9]設定!$D50,[9]第３表!$C$80:$C$136,0),5),[9]設定!$H50))</f>
        <v>18.100000000000001</v>
      </c>
      <c r="J36" s="55">
        <f>IF($D36="","",IF([9]設定!$H50="",INDEX([9]第３表!$F$80:$Q$136,MATCH([9]設定!$D50,[9]第３表!$C$80:$C$136,0),6),[9]設定!$H50))</f>
        <v>159</v>
      </c>
      <c r="K36" s="55">
        <f>IF($D36="","",IF([9]設定!$H50="",INDEX([9]第３表!$F$80:$Q$136,MATCH([9]設定!$D50,[9]第３表!$C$80:$C$136,0),7),[9]設定!$H50))</f>
        <v>143.9</v>
      </c>
      <c r="L36" s="55">
        <f>IF($D36="","",IF([9]設定!$H50="",INDEX([9]第３表!$F$80:$Q$136,MATCH([9]設定!$D50,[9]第３表!$C$80:$C$136,0),8),[9]設定!$H50))</f>
        <v>15.1</v>
      </c>
      <c r="M36" s="55">
        <f>IF($D36="","",IF([9]設定!$H50="",INDEX([9]第３表!$F$80:$Q$136,MATCH([9]設定!$D50,[9]第３表!$C$80:$C$136,0),9),[9]設定!$H50))</f>
        <v>17</v>
      </c>
      <c r="N36" s="55">
        <f>IF($D36="","",IF([9]設定!$H50="",INDEX([9]第３表!$F$80:$Q$136,MATCH([9]設定!$D50,[9]第３表!$C$80:$C$136,0),10),[9]設定!$H50))</f>
        <v>132.4</v>
      </c>
      <c r="O36" s="55">
        <f>IF($D36="","",IF([9]設定!$H50="",INDEX([9]第３表!$F$80:$Q$136,MATCH([9]設定!$D50,[9]第３表!$C$80:$C$136,0),11),[9]設定!$H50))</f>
        <v>127</v>
      </c>
      <c r="P36" s="55">
        <f>IF($D36="","",IF([9]設定!$H50="",INDEX([9]第３表!$F$80:$Q$136,MATCH([9]設定!$D50,[9]第３表!$C$80:$C$136,0),12),[9]設定!$H50))</f>
        <v>5.4</v>
      </c>
    </row>
    <row r="37" spans="2:17" s="8" customFormat="1" ht="17.25" customHeight="1" x14ac:dyDescent="0.45">
      <c r="B37" s="49" t="str">
        <f>+[10]第５表!B37</f>
        <v>E29</v>
      </c>
      <c r="C37" s="50"/>
      <c r="D37" s="65" t="str">
        <f>+[10]第５表!D37</f>
        <v>電気機械器具</v>
      </c>
      <c r="E37" s="55">
        <f>IF($D37="","",IF([9]設定!$H51="",INDEX([9]第３表!$F$80:$Q$136,MATCH([9]設定!$D51,[9]第３表!$C$80:$C$136,0),1),[9]設定!$H51))</f>
        <v>17.100000000000001</v>
      </c>
      <c r="F37" s="55">
        <f>IF($D37="","",IF([9]設定!$H51="",INDEX([9]第３表!$F$80:$Q$136,MATCH([9]設定!$D51,[9]第３表!$C$80:$C$136,0),2),[9]設定!$H51))</f>
        <v>136.80000000000001</v>
      </c>
      <c r="G37" s="55">
        <f>IF($D37="","",IF([9]設定!$H51="",INDEX([9]第３表!$F$80:$Q$136,MATCH([9]設定!$D51,[9]第３表!$C$80:$C$136,0),3),[9]設定!$H51))</f>
        <v>130.9</v>
      </c>
      <c r="H37" s="55">
        <f>IF($D37="","",IF([9]設定!$H51="",INDEX([9]第３表!$F$80:$Q$136,MATCH([9]設定!$D51,[9]第３表!$C$80:$C$136,0),4),[9]設定!$H51))</f>
        <v>5.9</v>
      </c>
      <c r="I37" s="55">
        <f>IF($D37="","",IF([9]設定!$H51="",INDEX([9]第３表!$F$80:$Q$136,MATCH([9]設定!$D51,[9]第３表!$C$80:$C$136,0),5),[9]設定!$H51))</f>
        <v>17.7</v>
      </c>
      <c r="J37" s="55">
        <f>IF($D37="","",IF([9]設定!$H51="",INDEX([9]第３表!$F$80:$Q$136,MATCH([9]設定!$D51,[9]第３表!$C$80:$C$136,0),6),[9]設定!$H51))</f>
        <v>145.1</v>
      </c>
      <c r="K37" s="55">
        <f>IF($D37="","",IF([9]設定!$H51="",INDEX([9]第３表!$F$80:$Q$136,MATCH([9]設定!$D51,[9]第３表!$C$80:$C$136,0),7),[9]設定!$H51))</f>
        <v>137.19999999999999</v>
      </c>
      <c r="L37" s="55">
        <f>IF($D37="","",IF([9]設定!$H51="",INDEX([9]第３表!$F$80:$Q$136,MATCH([9]設定!$D51,[9]第３表!$C$80:$C$136,0),8),[9]設定!$H51))</f>
        <v>7.9</v>
      </c>
      <c r="M37" s="55">
        <f>IF($D37="","",IF([9]設定!$H51="",INDEX([9]第３表!$F$80:$Q$136,MATCH([9]設定!$D51,[9]第３表!$C$80:$C$136,0),9),[9]設定!$H51))</f>
        <v>15.8</v>
      </c>
      <c r="N37" s="55">
        <f>IF($D37="","",IF([9]設定!$H51="",INDEX([9]第３表!$F$80:$Q$136,MATCH([9]設定!$D51,[9]第３表!$C$80:$C$136,0),10),[9]設定!$H51))</f>
        <v>119.8</v>
      </c>
      <c r="O37" s="55">
        <f>IF($D37="","",IF([9]設定!$H51="",INDEX([9]第３表!$F$80:$Q$136,MATCH([9]設定!$D51,[9]第３表!$C$80:$C$136,0),11),[9]設定!$H51))</f>
        <v>118</v>
      </c>
      <c r="P37" s="55">
        <f>IF($D37="","",IF([9]設定!$H51="",INDEX([9]第３表!$F$80:$Q$136,MATCH([9]設定!$D51,[9]第３表!$C$80:$C$136,0),12),[9]設定!$H51))</f>
        <v>1.8</v>
      </c>
    </row>
    <row r="38" spans="2:17" s="8" customFormat="1" ht="17.25" customHeight="1" x14ac:dyDescent="0.45">
      <c r="B38" s="49" t="str">
        <f>+[10]第５表!B38</f>
        <v>E31</v>
      </c>
      <c r="C38" s="50"/>
      <c r="D38" s="65" t="str">
        <f>+[10]第５表!D38</f>
        <v>輸送用機械器具</v>
      </c>
      <c r="E38" s="55">
        <f>IF($D38="","",IF([9]設定!$H52="",INDEX([9]第３表!$F$80:$Q$136,MATCH([9]設定!$D52,[9]第３表!$C$80:$C$136,0),1),[9]設定!$H52))</f>
        <v>16.399999999999999</v>
      </c>
      <c r="F38" s="55">
        <f>IF($D38="","",IF([9]設定!$H52="",INDEX([9]第３表!$F$80:$Q$136,MATCH([9]設定!$D52,[9]第３表!$C$80:$C$136,0),2),[9]設定!$H52))</f>
        <v>152.80000000000001</v>
      </c>
      <c r="G38" s="55">
        <f>IF($D38="","",IF([9]設定!$H52="",INDEX([9]第３表!$F$80:$Q$136,MATCH([9]設定!$D52,[9]第３表!$C$80:$C$136,0),3),[9]設定!$H52))</f>
        <v>132.4</v>
      </c>
      <c r="H38" s="55">
        <f>IF($D38="","",IF([9]設定!$H52="",INDEX([9]第３表!$F$80:$Q$136,MATCH([9]設定!$D52,[9]第３表!$C$80:$C$136,0),4),[9]設定!$H52))</f>
        <v>20.399999999999999</v>
      </c>
      <c r="I38" s="55">
        <f>IF($D38="","",IF([9]設定!$H52="",INDEX([9]第３表!$F$80:$Q$136,MATCH([9]設定!$D52,[9]第３表!$C$80:$C$136,0),5),[9]設定!$H52))</f>
        <v>16.399999999999999</v>
      </c>
      <c r="J38" s="55">
        <f>IF($D38="","",IF([9]設定!$H52="",INDEX([9]第３表!$F$80:$Q$136,MATCH([9]設定!$D52,[9]第３表!$C$80:$C$136,0),6),[9]設定!$H52))</f>
        <v>155</v>
      </c>
      <c r="K38" s="55">
        <f>IF($D38="","",IF([9]設定!$H52="",INDEX([9]第３表!$F$80:$Q$136,MATCH([9]設定!$D52,[9]第３表!$C$80:$C$136,0),7),[9]設定!$H52))</f>
        <v>133.1</v>
      </c>
      <c r="L38" s="55">
        <f>IF($D38="","",IF([9]設定!$H52="",INDEX([9]第３表!$F$80:$Q$136,MATCH([9]設定!$D52,[9]第３表!$C$80:$C$136,0),8),[9]設定!$H52))</f>
        <v>21.9</v>
      </c>
      <c r="M38" s="55">
        <f>IF($D38="","",IF([9]設定!$H52="",INDEX([9]第３表!$F$80:$Q$136,MATCH([9]設定!$D52,[9]第３表!$C$80:$C$136,0),9),[9]設定!$H52))</f>
        <v>16.5</v>
      </c>
      <c r="N38" s="55">
        <f>IF($D38="","",IF([9]設定!$H52="",INDEX([9]第３表!$F$80:$Q$136,MATCH([9]設定!$D52,[9]第３表!$C$80:$C$136,0),10),[9]設定!$H52))</f>
        <v>143.4</v>
      </c>
      <c r="O38" s="55">
        <f>IF($D38="","",IF([9]設定!$H52="",INDEX([9]第３表!$F$80:$Q$136,MATCH([9]設定!$D52,[9]第３表!$C$80:$C$136,0),11),[9]設定!$H52))</f>
        <v>129.6</v>
      </c>
      <c r="P38" s="55">
        <f>IF($D38="","",IF([9]設定!$H52="",INDEX([9]第３表!$F$80:$Q$136,MATCH([9]設定!$D52,[9]第３表!$C$80:$C$136,0),12),[9]設定!$H52))</f>
        <v>13.8</v>
      </c>
    </row>
    <row r="39" spans="2:17" s="8" customFormat="1" ht="17.25" customHeight="1" x14ac:dyDescent="0.45">
      <c r="B39" s="66" t="str">
        <f>+[10]第５表!B39</f>
        <v>ES</v>
      </c>
      <c r="C39" s="67"/>
      <c r="D39" s="68" t="str">
        <f>+[10]第５表!D39</f>
        <v>はん用・生産用機械器具</v>
      </c>
      <c r="E39" s="69">
        <f>IF($D39="","",IF([9]設定!$H53="",INDEX([9]第３表!$F$80:$Q$136,MATCH([9]設定!$D53,[9]第３表!$C$80:$C$136,0),1),[9]設定!$H53))</f>
        <v>20.399999999999999</v>
      </c>
      <c r="F39" s="69">
        <f>IF($D39="","",IF([9]設定!$H53="",INDEX([9]第３表!$F$80:$Q$136,MATCH([9]設定!$D53,[9]第３表!$C$80:$C$136,0),2),[9]設定!$H53))</f>
        <v>182.9</v>
      </c>
      <c r="G39" s="69">
        <f>IF($D39="","",IF([9]設定!$H53="",INDEX([9]第３表!$F$80:$Q$136,MATCH([9]設定!$D53,[9]第３表!$C$80:$C$136,0),3),[9]設定!$H53))</f>
        <v>151.9</v>
      </c>
      <c r="H39" s="69">
        <f>IF($D39="","",IF([9]設定!$H53="",INDEX([9]第３表!$F$80:$Q$136,MATCH([9]設定!$D53,[9]第３表!$C$80:$C$136,0),4),[9]設定!$H53))</f>
        <v>31</v>
      </c>
      <c r="I39" s="69">
        <f>IF($D39="","",IF([9]設定!$H53="",INDEX([9]第３表!$F$80:$Q$136,MATCH([9]設定!$D53,[9]第３表!$C$80:$C$136,0),5),[9]設定!$H53))</f>
        <v>21.1</v>
      </c>
      <c r="J39" s="69">
        <f>IF($D39="","",IF([9]設定!$H53="",INDEX([9]第３表!$F$80:$Q$136,MATCH([9]設定!$D53,[9]第３表!$C$80:$C$136,0),6),[9]設定!$H53))</f>
        <v>190</v>
      </c>
      <c r="K39" s="69">
        <f>IF($D39="","",IF([9]設定!$H53="",INDEX([9]第３表!$F$80:$Q$136,MATCH([9]設定!$D53,[9]第３表!$C$80:$C$136,0),7),[9]設定!$H53))</f>
        <v>152.80000000000001</v>
      </c>
      <c r="L39" s="69">
        <f>IF($D39="","",IF([9]設定!$H53="",INDEX([9]第３表!$F$80:$Q$136,MATCH([9]設定!$D53,[9]第３表!$C$80:$C$136,0),8),[9]設定!$H53))</f>
        <v>37.200000000000003</v>
      </c>
      <c r="M39" s="69">
        <f>IF($D39="","",IF([9]設定!$H53="",INDEX([9]第３表!$F$80:$Q$136,MATCH([9]設定!$D53,[9]第３表!$C$80:$C$136,0),9),[9]設定!$H53))</f>
        <v>17.8</v>
      </c>
      <c r="N39" s="69">
        <f>IF($D39="","",IF([9]設定!$H53="",INDEX([9]第３表!$F$80:$Q$136,MATCH([9]設定!$D53,[9]第３表!$C$80:$C$136,0),10),[9]設定!$H53))</f>
        <v>158.30000000000001</v>
      </c>
      <c r="O39" s="69">
        <f>IF($D39="","",IF([9]設定!$H53="",INDEX([9]第３表!$F$80:$Q$136,MATCH([9]設定!$D53,[9]第３表!$C$80:$C$136,0),11),[9]設定!$H53))</f>
        <v>149</v>
      </c>
      <c r="P39" s="69">
        <f>IF($D39="","",IF([9]設定!$H53="",INDEX([9]第３表!$F$80:$Q$136,MATCH([9]設定!$D53,[9]第３表!$C$80:$C$136,0),12),[9]設定!$H53))</f>
        <v>9.3000000000000007</v>
      </c>
    </row>
    <row r="40" spans="2:17" s="8" customFormat="1" ht="16.2" customHeight="1" x14ac:dyDescent="0.45">
      <c r="B40" s="70" t="str">
        <f>+[10]第５表!B40</f>
        <v>R91</v>
      </c>
      <c r="C40" s="71"/>
      <c r="D40" s="72" t="str">
        <f>+[10]第５表!D40</f>
        <v>職業紹介・労働者派遣業</v>
      </c>
      <c r="E40" s="73">
        <f>IF($D40="","",IF([9]設定!$H54="",INDEX([9]第３表!$F$80:$Q$136,MATCH([9]設定!$D54,[9]第３表!$C$80:$C$136,0),1),[9]設定!$H54))</f>
        <v>17.8</v>
      </c>
      <c r="F40" s="73">
        <f>IF($D40="","",IF([9]設定!$H54="",INDEX([9]第３表!$F$80:$Q$136,MATCH([9]設定!$D54,[9]第３表!$C$80:$C$136,0),2),[9]設定!$H54))</f>
        <v>143.30000000000001</v>
      </c>
      <c r="G40" s="73">
        <f>IF($D40="","",IF([9]設定!$H54="",INDEX([9]第３表!$F$80:$Q$136,MATCH([9]設定!$D54,[9]第３表!$C$80:$C$136,0),3),[9]設定!$H54))</f>
        <v>134.69999999999999</v>
      </c>
      <c r="H40" s="73">
        <f>IF($D40="","",IF([9]設定!$H54="",INDEX([9]第３表!$F$80:$Q$136,MATCH([9]設定!$D54,[9]第３表!$C$80:$C$136,0),4),[9]設定!$H54))</f>
        <v>8.6</v>
      </c>
      <c r="I40" s="73">
        <f>IF($D40="","",IF([9]設定!$H54="",INDEX([9]第３表!$F$80:$Q$136,MATCH([9]設定!$D54,[9]第３表!$C$80:$C$136,0),5),[9]設定!$H54))</f>
        <v>18.100000000000001</v>
      </c>
      <c r="J40" s="73">
        <f>IF($D40="","",IF([9]設定!$H54="",INDEX([9]第３表!$F$80:$Q$136,MATCH([9]設定!$D54,[9]第３表!$C$80:$C$136,0),6),[9]設定!$H54))</f>
        <v>155.69999999999999</v>
      </c>
      <c r="K40" s="73">
        <f>IF($D40="","",IF([9]設定!$H54="",INDEX([9]第３表!$F$80:$Q$136,MATCH([9]設定!$D54,[9]第３表!$C$80:$C$136,0),7),[9]設定!$H54))</f>
        <v>143.1</v>
      </c>
      <c r="L40" s="73">
        <f>IF($D40="","",IF([9]設定!$H54="",INDEX([9]第３表!$F$80:$Q$136,MATCH([9]設定!$D54,[9]第３表!$C$80:$C$136,0),8),[9]設定!$H54))</f>
        <v>12.6</v>
      </c>
      <c r="M40" s="73">
        <f>IF($D40="","",IF([9]設定!$H54="",INDEX([9]第３表!$F$80:$Q$136,MATCH([9]設定!$D54,[9]第３表!$C$80:$C$136,0),9),[9]設定!$H54))</f>
        <v>17.600000000000001</v>
      </c>
      <c r="N40" s="73">
        <f>IF($D40="","",IF([9]設定!$H54="",INDEX([9]第３表!$F$80:$Q$136,MATCH([9]設定!$D54,[9]第３表!$C$80:$C$136,0),10),[9]設定!$H54))</f>
        <v>132.80000000000001</v>
      </c>
      <c r="O40" s="73">
        <f>IF($D40="","",IF([9]設定!$H54="",INDEX([9]第３表!$F$80:$Q$136,MATCH([9]設定!$D54,[9]第３表!$C$80:$C$136,0),11),[9]設定!$H54))</f>
        <v>127.5</v>
      </c>
      <c r="P40" s="73">
        <f>IF($D40="","",IF([9]設定!$H54="",INDEX([9]第３表!$F$80:$Q$136,MATCH([9]設定!$D54,[9]第３表!$C$80:$C$136,0),12),[9]設定!$H54))</f>
        <v>5.3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IF($D47="","",IF([9]設定!$I23="",INDEX([9]第３表!$F$10:$Q$66,MATCH([9]設定!$D23,[9]第３表!$C$10:$C$66,0),1),[9]設定!$I23))</f>
        <v>18.399999999999999</v>
      </c>
      <c r="F47" s="48">
        <f>IF($D47="","",IF([9]設定!$I23="",INDEX([9]第３表!$F$10:$Q$66,MATCH([9]設定!$D23,[9]第３表!$C$10:$C$66,0),2),[9]設定!$I23))</f>
        <v>143.9</v>
      </c>
      <c r="G47" s="48">
        <f>IF($D47="","",IF([9]設定!$I23="",INDEX([9]第３表!$F$10:$Q$66,MATCH([9]設定!$D23,[9]第３表!$C$10:$C$66,0),3),[9]設定!$I23))</f>
        <v>133.1</v>
      </c>
      <c r="H47" s="48">
        <f>IF($D47="","",IF([9]設定!$I23="",INDEX([9]第３表!$F$10:$Q$66,MATCH([9]設定!$D23,[9]第３表!$C$10:$C$66,0),4),[9]設定!$I23))</f>
        <v>10.8</v>
      </c>
      <c r="I47" s="48">
        <f>IF($D47="","",IF([9]設定!$I23="",INDEX([9]第３表!$F$10:$Q$66,MATCH([9]設定!$D23,[9]第３表!$C$10:$C$66,0),5),[9]設定!$I23))</f>
        <v>18.7</v>
      </c>
      <c r="J47" s="48">
        <f>IF($D47="","",IF([9]設定!$I23="",INDEX([9]第３表!$F$10:$Q$66,MATCH([9]設定!$D23,[9]第３表!$C$10:$C$66,0),6),[9]設定!$I23))</f>
        <v>155.6</v>
      </c>
      <c r="K47" s="48">
        <f>IF($D47="","",IF([9]設定!$I23="",INDEX([9]第３表!$F$10:$Q$66,MATCH([9]設定!$D23,[9]第３表!$C$10:$C$66,0),7),[9]設定!$I23))</f>
        <v>140.6</v>
      </c>
      <c r="L47" s="48">
        <f>IF($D47="","",IF([9]設定!$I23="",INDEX([9]第３表!$F$10:$Q$66,MATCH([9]設定!$D23,[9]第３表!$C$10:$C$66,0),8),[9]設定!$I23))</f>
        <v>15</v>
      </c>
      <c r="M47" s="48">
        <f>IF($D47="","",IF([9]設定!$I23="",INDEX([9]第３表!$F$10:$Q$66,MATCH([9]設定!$D23,[9]第３表!$C$10:$C$66,0),9),[9]設定!$I23))</f>
        <v>18.100000000000001</v>
      </c>
      <c r="N47" s="48">
        <f>IF($D47="","",IF([9]設定!$I23="",INDEX([9]第３表!$F$10:$Q$66,MATCH([9]設定!$D23,[9]第３表!$C$10:$C$66,0),10),[9]設定!$I23))</f>
        <v>132.5</v>
      </c>
      <c r="O47" s="48">
        <f>IF($D47="","",IF([9]設定!$I23="",INDEX([9]第３表!$F$10:$Q$66,MATCH([9]設定!$D23,[9]第３表!$C$10:$C$66,0),11),[9]設定!$I23))</f>
        <v>125.8</v>
      </c>
      <c r="P47" s="48">
        <f>IF($D47="","",IF([9]設定!$I23="",INDEX([9]第３表!$F$10:$Q$66,MATCH([9]設定!$D23,[9]第３表!$C$10:$C$66,0),12),[9]設定!$I23))</f>
        <v>6.7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IF($D48="","",IF([9]設定!$I24="",INDEX([9]第３表!$F$10:$Q$66,MATCH([9]設定!$D24,[9]第３表!$C$10:$C$66,0),1),[9]設定!$I24))</f>
        <v>18.5</v>
      </c>
      <c r="F48" s="52">
        <f>IF($D48="","",IF([9]設定!$I24="",INDEX([9]第３表!$F$10:$Q$66,MATCH([9]設定!$D24,[9]第３表!$C$10:$C$66,0),2),[9]設定!$I24))</f>
        <v>150.69999999999999</v>
      </c>
      <c r="G48" s="52">
        <f>IF($D48="","",IF([9]設定!$I24="",INDEX([9]第３表!$F$10:$Q$66,MATCH([9]設定!$D24,[9]第３表!$C$10:$C$66,0),3),[9]設定!$I24))</f>
        <v>142.19999999999999</v>
      </c>
      <c r="H48" s="53">
        <f>IF($D48="","",IF([9]設定!$I24="",INDEX([9]第３表!$F$10:$Q$66,MATCH([9]設定!$D24,[9]第３表!$C$10:$C$66,0),4),[9]設定!$I24))</f>
        <v>8.5</v>
      </c>
      <c r="I48" s="54">
        <f>IF($D48="","",IF([9]設定!$I24="",INDEX([9]第３表!$F$10:$Q$66,MATCH([9]設定!$D24,[9]第３表!$C$10:$C$66,0),5),[9]設定!$I24))</f>
        <v>18.600000000000001</v>
      </c>
      <c r="J48" s="54">
        <f>IF($D48="","",IF([9]設定!$I24="",INDEX([9]第３表!$F$10:$Q$66,MATCH([9]設定!$D24,[9]第３表!$C$10:$C$66,0),6),[9]設定!$I24))</f>
        <v>149.30000000000001</v>
      </c>
      <c r="K48" s="54">
        <f>IF($D48="","",IF([9]設定!$I24="",INDEX([9]第３表!$F$10:$Q$66,MATCH([9]設定!$D24,[9]第３表!$C$10:$C$66,0),7),[9]設定!$I24))</f>
        <v>139.9</v>
      </c>
      <c r="L48" s="55">
        <f>IF($D48="","",IF([9]設定!$I24="",INDEX([9]第３表!$F$10:$Q$66,MATCH([9]設定!$D24,[9]第３表!$C$10:$C$66,0),8),[9]設定!$I24))</f>
        <v>9.4</v>
      </c>
      <c r="M48" s="56">
        <f>IF($D48="","",IF([9]設定!$I24="",INDEX([9]第３表!$F$10:$Q$66,MATCH([9]設定!$D24,[9]第３表!$C$10:$C$66,0),9),[9]設定!$I24))</f>
        <v>18.3</v>
      </c>
      <c r="N48" s="56">
        <f>IF($D48="","",IF([9]設定!$I24="",INDEX([9]第３表!$F$10:$Q$66,MATCH([9]設定!$D24,[9]第３表!$C$10:$C$66,0),10),[9]設定!$I24))</f>
        <v>156.19999999999999</v>
      </c>
      <c r="O48" s="56">
        <f>IF($D48="","",IF([9]設定!$I24="",INDEX([9]第３表!$F$10:$Q$66,MATCH([9]設定!$D24,[9]第３表!$C$10:$C$66,0),11),[9]設定!$I24))</f>
        <v>151.30000000000001</v>
      </c>
      <c r="P48" s="57">
        <f>IF($D48="","",IF([9]設定!$I24="",INDEX([9]第３表!$F$10:$Q$66,MATCH([9]設定!$D24,[9]第３表!$C$10:$C$66,0),12),[9]設定!$I24))</f>
        <v>4.9000000000000004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IF($D49="","",IF([9]設定!$I25="",INDEX([9]第３表!$F$10:$Q$66,MATCH([9]設定!$D25,[9]第３表!$C$10:$C$66,0),1),[9]設定!$I25))</f>
        <v>18.2</v>
      </c>
      <c r="F49" s="52">
        <f>IF($D49="","",IF([9]設定!$I25="",INDEX([9]第３表!$F$10:$Q$66,MATCH([9]設定!$D25,[9]第３表!$C$10:$C$66,0),2),[9]設定!$I25))</f>
        <v>149.5</v>
      </c>
      <c r="G49" s="52">
        <f>IF($D49="","",IF([9]設定!$I25="",INDEX([9]第３表!$F$10:$Q$66,MATCH([9]設定!$D25,[9]第３表!$C$10:$C$66,0),3),[9]設定!$I25))</f>
        <v>137</v>
      </c>
      <c r="H49" s="53">
        <f>IF($D49="","",IF([9]設定!$I25="",INDEX([9]第３表!$F$10:$Q$66,MATCH([9]設定!$D25,[9]第３表!$C$10:$C$66,0),4),[9]設定!$I25))</f>
        <v>12.5</v>
      </c>
      <c r="I49" s="54">
        <f>IF($D49="","",IF([9]設定!$I25="",INDEX([9]第３表!$F$10:$Q$66,MATCH([9]設定!$D25,[9]第３表!$C$10:$C$66,0),5),[9]設定!$I25))</f>
        <v>18.399999999999999</v>
      </c>
      <c r="J49" s="54">
        <f>IF($D49="","",IF([9]設定!$I25="",INDEX([9]第３表!$F$10:$Q$66,MATCH([9]設定!$D25,[9]第３表!$C$10:$C$66,0),6),[9]設定!$I25))</f>
        <v>156.1</v>
      </c>
      <c r="K49" s="54">
        <f>IF($D49="","",IF([9]設定!$I25="",INDEX([9]第３表!$F$10:$Q$66,MATCH([9]設定!$D25,[9]第３表!$C$10:$C$66,0),7),[9]設定!$I25))</f>
        <v>140.6</v>
      </c>
      <c r="L49" s="55">
        <f>IF($D49="","",IF([9]設定!$I25="",INDEX([9]第３表!$F$10:$Q$66,MATCH([9]設定!$D25,[9]第３表!$C$10:$C$66,0),8),[9]設定!$I25))</f>
        <v>15.5</v>
      </c>
      <c r="M49" s="56">
        <f>IF($D49="","",IF([9]設定!$I25="",INDEX([9]第３表!$F$10:$Q$66,MATCH([9]設定!$D25,[9]第３表!$C$10:$C$66,0),9),[9]設定!$I25))</f>
        <v>17.8</v>
      </c>
      <c r="N49" s="56">
        <f>IF($D49="","",IF([9]設定!$I25="",INDEX([9]第３表!$F$10:$Q$66,MATCH([9]設定!$D25,[9]第３表!$C$10:$C$66,0),10),[9]設定!$I25))</f>
        <v>138.1</v>
      </c>
      <c r="O49" s="56">
        <f>IF($D49="","",IF([9]設定!$I25="",INDEX([9]第３表!$F$10:$Q$66,MATCH([9]設定!$D25,[9]第３表!$C$10:$C$66,0),11),[9]設定!$I25))</f>
        <v>130.80000000000001</v>
      </c>
      <c r="P49" s="57">
        <f>IF($D49="","",IF([9]設定!$I25="",INDEX([9]第３表!$F$10:$Q$66,MATCH([9]設定!$D25,[9]第３表!$C$10:$C$66,0),12),[9]設定!$I25))</f>
        <v>7.3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IF($D50="","",IF([9]設定!$I26="",INDEX([9]第３表!$F$10:$Q$66,MATCH([9]設定!$D26,[9]第３表!$C$10:$C$66,0),1),[9]設定!$I26))</f>
        <v>18.7</v>
      </c>
      <c r="F50" s="52">
        <f>IF($D50="","",IF([9]設定!$I26="",INDEX([9]第３表!$F$10:$Q$66,MATCH([9]設定!$D26,[9]第３表!$C$10:$C$66,0),2),[9]設定!$I26))</f>
        <v>151.30000000000001</v>
      </c>
      <c r="G50" s="52">
        <f>IF($D50="","",IF([9]設定!$I26="",INDEX([9]第３表!$F$10:$Q$66,MATCH([9]設定!$D26,[9]第３表!$C$10:$C$66,0),3),[9]設定!$I26))</f>
        <v>134.5</v>
      </c>
      <c r="H50" s="53">
        <f>IF($D50="","",IF([9]設定!$I26="",INDEX([9]第３表!$F$10:$Q$66,MATCH([9]設定!$D26,[9]第３表!$C$10:$C$66,0),4),[9]設定!$I26))</f>
        <v>16.8</v>
      </c>
      <c r="I50" s="54">
        <f>IF($D50="","",IF([9]設定!$I26="",INDEX([9]第３表!$F$10:$Q$66,MATCH([9]設定!$D26,[9]第３表!$C$10:$C$66,0),5),[9]設定!$I26))</f>
        <v>18.8</v>
      </c>
      <c r="J50" s="54">
        <f>IF($D50="","",IF([9]設定!$I26="",INDEX([9]第３表!$F$10:$Q$66,MATCH([9]設定!$D26,[9]第３表!$C$10:$C$66,0),6),[9]設定!$I26))</f>
        <v>154.80000000000001</v>
      </c>
      <c r="K50" s="54">
        <f>IF($D50="","",IF([9]設定!$I26="",INDEX([9]第３表!$F$10:$Q$66,MATCH([9]設定!$D26,[9]第３表!$C$10:$C$66,0),7),[9]設定!$I26))</f>
        <v>136.4</v>
      </c>
      <c r="L50" s="55">
        <f>IF($D50="","",IF([9]設定!$I26="",INDEX([9]第３表!$F$10:$Q$66,MATCH([9]設定!$D26,[9]第３表!$C$10:$C$66,0),8),[9]設定!$I26))</f>
        <v>18.399999999999999</v>
      </c>
      <c r="M50" s="56">
        <f>IF($D50="","",IF([9]設定!$I26="",INDEX([9]第３表!$F$10:$Q$66,MATCH([9]設定!$D26,[9]第３表!$C$10:$C$66,0),9),[9]設定!$I26))</f>
        <v>18.3</v>
      </c>
      <c r="N50" s="56">
        <f>IF($D50="","",IF([9]設定!$I26="",INDEX([9]第３表!$F$10:$Q$66,MATCH([9]設定!$D26,[9]第３表!$C$10:$C$66,0),10),[9]設定!$I26))</f>
        <v>129</v>
      </c>
      <c r="O50" s="56">
        <f>IF($D50="","",IF([9]設定!$I26="",INDEX([9]第３表!$F$10:$Q$66,MATCH([9]設定!$D26,[9]第３表!$C$10:$C$66,0),11),[9]設定!$I26))</f>
        <v>122.3</v>
      </c>
      <c r="P50" s="57">
        <f>IF($D50="","",IF([9]設定!$I26="",INDEX([9]第３表!$F$10:$Q$66,MATCH([9]設定!$D26,[9]第３表!$C$10:$C$66,0),12),[9]設定!$I26))</f>
        <v>6.7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IF($D51="","",IF([9]設定!$I27="",INDEX([9]第３表!$F$10:$Q$66,MATCH([9]設定!$D27,[9]第３表!$C$10:$C$66,0),1),[9]設定!$I27))</f>
        <v>18.399999999999999</v>
      </c>
      <c r="F51" s="52">
        <f>IF($D51="","",IF([9]設定!$I27="",INDEX([9]第３表!$F$10:$Q$66,MATCH([9]設定!$D27,[9]第３表!$C$10:$C$66,0),2),[9]設定!$I27))</f>
        <v>151.9</v>
      </c>
      <c r="G51" s="52">
        <f>IF($D51="","",IF([9]設定!$I27="",INDEX([9]第３表!$F$10:$Q$66,MATCH([9]設定!$D27,[9]第３表!$C$10:$C$66,0),3),[9]設定!$I27))</f>
        <v>139.19999999999999</v>
      </c>
      <c r="H51" s="53">
        <f>IF($D51="","",IF([9]設定!$I27="",INDEX([9]第３表!$F$10:$Q$66,MATCH([9]設定!$D27,[9]第３表!$C$10:$C$66,0),4),[9]設定!$I27))</f>
        <v>12.7</v>
      </c>
      <c r="I51" s="54">
        <f>IF($D51="","",IF([9]設定!$I27="",INDEX([9]第３表!$F$10:$Q$66,MATCH([9]設定!$D27,[9]第３表!$C$10:$C$66,0),5),[9]設定!$I27))</f>
        <v>18.5</v>
      </c>
      <c r="J51" s="54">
        <f>IF($D51="","",IF([9]設定!$I27="",INDEX([9]第３表!$F$10:$Q$66,MATCH([9]設定!$D27,[9]第３表!$C$10:$C$66,0),6),[9]設定!$I27))</f>
        <v>154.1</v>
      </c>
      <c r="K51" s="54">
        <f>IF($D51="","",IF([9]設定!$I27="",INDEX([9]第３表!$F$10:$Q$66,MATCH([9]設定!$D27,[9]第３表!$C$10:$C$66,0),7),[9]設定!$I27))</f>
        <v>140.5</v>
      </c>
      <c r="L51" s="55">
        <f>IF($D51="","",IF([9]設定!$I27="",INDEX([9]第３表!$F$10:$Q$66,MATCH([9]設定!$D27,[9]第３表!$C$10:$C$66,0),8),[9]設定!$I27))</f>
        <v>13.6</v>
      </c>
      <c r="M51" s="56">
        <f>IF($D51="","",IF([9]設定!$I27="",INDEX([9]第３表!$F$10:$Q$66,MATCH([9]設定!$D27,[9]第３表!$C$10:$C$66,0),9),[9]設定!$I27))</f>
        <v>18.3</v>
      </c>
      <c r="N51" s="56">
        <f>IF($D51="","",IF([9]設定!$I27="",INDEX([9]第３表!$F$10:$Q$66,MATCH([9]設定!$D27,[9]第３表!$C$10:$C$66,0),10),[9]設定!$I27))</f>
        <v>146.6</v>
      </c>
      <c r="O51" s="56">
        <f>IF($D51="","",IF([9]設定!$I27="",INDEX([9]第３表!$F$10:$Q$66,MATCH([9]設定!$D27,[9]第３表!$C$10:$C$66,0),11),[9]設定!$I27))</f>
        <v>136.1</v>
      </c>
      <c r="P51" s="57">
        <f>IF($D51="","",IF([9]設定!$I27="",INDEX([9]第３表!$F$10:$Q$66,MATCH([9]設定!$D27,[9]第３表!$C$10:$C$66,0),12),[9]設定!$I27))</f>
        <v>10.5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IF($D52="","",IF([9]設定!$I28="",INDEX([9]第３表!$F$10:$Q$66,MATCH([9]設定!$D28,[9]第３表!$C$10:$C$66,0),1),[9]設定!$I28))</f>
        <v>19.100000000000001</v>
      </c>
      <c r="F52" s="52">
        <f>IF($D52="","",IF([9]設定!$I28="",INDEX([9]第３表!$F$10:$Q$66,MATCH([9]設定!$D28,[9]第３表!$C$10:$C$66,0),2),[9]設定!$I28))</f>
        <v>162.1</v>
      </c>
      <c r="G52" s="52">
        <f>IF($D52="","",IF([9]設定!$I28="",INDEX([9]第３表!$F$10:$Q$66,MATCH([9]設定!$D28,[9]第３表!$C$10:$C$66,0),3),[9]設定!$I28))</f>
        <v>140.9</v>
      </c>
      <c r="H52" s="53">
        <f>IF($D52="","",IF([9]設定!$I28="",INDEX([9]第３表!$F$10:$Q$66,MATCH([9]設定!$D28,[9]第３表!$C$10:$C$66,0),4),[9]設定!$I28))</f>
        <v>21.2</v>
      </c>
      <c r="I52" s="54">
        <f>IF($D52="","",IF([9]設定!$I28="",INDEX([9]第３表!$F$10:$Q$66,MATCH([9]設定!$D28,[9]第３表!$C$10:$C$66,0),5),[9]設定!$I28))</f>
        <v>19.2</v>
      </c>
      <c r="J52" s="54">
        <f>IF($D52="","",IF([9]設定!$I28="",INDEX([9]第３表!$F$10:$Q$66,MATCH([9]設定!$D28,[9]第３表!$C$10:$C$66,0),6),[9]設定!$I28))</f>
        <v>165.3</v>
      </c>
      <c r="K52" s="54">
        <f>IF($D52="","",IF([9]設定!$I28="",INDEX([9]第３表!$F$10:$Q$66,MATCH([9]設定!$D28,[9]第３表!$C$10:$C$66,0),7),[9]設定!$I28))</f>
        <v>141.69999999999999</v>
      </c>
      <c r="L52" s="55">
        <f>IF($D52="","",IF([9]設定!$I28="",INDEX([9]第３表!$F$10:$Q$66,MATCH([9]設定!$D28,[9]第３表!$C$10:$C$66,0),8),[9]設定!$I28))</f>
        <v>23.6</v>
      </c>
      <c r="M52" s="56">
        <f>IF($D52="","",IF([9]設定!$I28="",INDEX([9]第３表!$F$10:$Q$66,MATCH([9]設定!$D28,[9]第３表!$C$10:$C$66,0),9),[9]設定!$I28))</f>
        <v>18.8</v>
      </c>
      <c r="N52" s="56">
        <f>IF($D52="","",IF([9]設定!$I28="",INDEX([9]第３表!$F$10:$Q$66,MATCH([9]設定!$D28,[9]第３表!$C$10:$C$66,0),10),[9]設定!$I28))</f>
        <v>145.1</v>
      </c>
      <c r="O52" s="56">
        <f>IF($D52="","",IF([9]設定!$I28="",INDEX([9]第３表!$F$10:$Q$66,MATCH([9]設定!$D28,[9]第３表!$C$10:$C$66,0),11),[9]設定!$I28))</f>
        <v>136.5</v>
      </c>
      <c r="P52" s="57">
        <f>IF($D52="","",IF([9]設定!$I28="",INDEX([9]第３表!$F$10:$Q$66,MATCH([9]設定!$D28,[9]第３表!$C$10:$C$66,0),12),[9]設定!$I28))</f>
        <v>8.6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IF($D53="","",IF([9]設定!$I29="",INDEX([9]第３表!$F$10:$Q$66,MATCH([9]設定!$D29,[9]第３表!$C$10:$C$66,0),1),[9]設定!$I29))</f>
        <v>18.3</v>
      </c>
      <c r="F53" s="52">
        <f>IF($D53="","",IF([9]設定!$I29="",INDEX([9]第３表!$F$10:$Q$66,MATCH([9]設定!$D29,[9]第３表!$C$10:$C$66,0),2),[9]設定!$I29))</f>
        <v>128.1</v>
      </c>
      <c r="G53" s="52">
        <f>IF($D53="","",IF([9]設定!$I29="",INDEX([9]第３表!$F$10:$Q$66,MATCH([9]設定!$D29,[9]第３表!$C$10:$C$66,0),3),[9]設定!$I29))</f>
        <v>120.1</v>
      </c>
      <c r="H53" s="53">
        <f>IF($D53="","",IF([9]設定!$I29="",INDEX([9]第３表!$F$10:$Q$66,MATCH([9]設定!$D29,[9]第３表!$C$10:$C$66,0),4),[9]設定!$I29))</f>
        <v>8</v>
      </c>
      <c r="I53" s="54">
        <f>IF($D53="","",IF([9]設定!$I29="",INDEX([9]第３表!$F$10:$Q$66,MATCH([9]設定!$D29,[9]第３表!$C$10:$C$66,0),5),[9]設定!$I29))</f>
        <v>19.2</v>
      </c>
      <c r="J53" s="54">
        <f>IF($D53="","",IF([9]設定!$I29="",INDEX([9]第３表!$F$10:$Q$66,MATCH([9]設定!$D29,[9]第３表!$C$10:$C$66,0),6),[9]設定!$I29))</f>
        <v>151.9</v>
      </c>
      <c r="K53" s="54">
        <f>IF($D53="","",IF([9]設定!$I29="",INDEX([9]第３表!$F$10:$Q$66,MATCH([9]設定!$D29,[9]第３表!$C$10:$C$66,0),7),[9]設定!$I29))</f>
        <v>138.5</v>
      </c>
      <c r="L53" s="55">
        <f>IF($D53="","",IF([9]設定!$I29="",INDEX([9]第３表!$F$10:$Q$66,MATCH([9]設定!$D29,[9]第３表!$C$10:$C$66,0),8),[9]設定!$I29))</f>
        <v>13.4</v>
      </c>
      <c r="M53" s="56">
        <f>IF($D53="","",IF([9]設定!$I29="",INDEX([9]第３表!$F$10:$Q$66,MATCH([9]設定!$D29,[9]第３表!$C$10:$C$66,0),9),[9]設定!$I29))</f>
        <v>17.7</v>
      </c>
      <c r="N53" s="56">
        <f>IF($D53="","",IF([9]設定!$I29="",INDEX([9]第３表!$F$10:$Q$66,MATCH([9]設定!$D29,[9]第３表!$C$10:$C$66,0),10),[9]設定!$I29))</f>
        <v>112.1</v>
      </c>
      <c r="O53" s="56">
        <f>IF($D53="","",IF([9]設定!$I29="",INDEX([9]第３表!$F$10:$Q$66,MATCH([9]設定!$D29,[9]第３表!$C$10:$C$66,0),11),[9]設定!$I29))</f>
        <v>107.7</v>
      </c>
      <c r="P53" s="57">
        <f>IF($D53="","",IF([9]設定!$I29="",INDEX([9]第３表!$F$10:$Q$66,MATCH([9]設定!$D29,[9]第３表!$C$10:$C$66,0),12),[9]設定!$I29))</f>
        <v>4.4000000000000004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 t="str">
        <f>IF($D54="","",IF([9]設定!$I30="",INDEX([9]第３表!$F$10:$Q$66,MATCH([9]設定!$D30,[9]第３表!$C$10:$C$66,0),1),[9]設定!$I30))</f>
        <v>x</v>
      </c>
      <c r="F54" s="52" t="str">
        <f>IF($D54="","",IF([9]設定!$I30="",INDEX([9]第３表!$F$10:$Q$66,MATCH([9]設定!$D30,[9]第３表!$C$10:$C$66,0),2),[9]設定!$I30))</f>
        <v>x</v>
      </c>
      <c r="G54" s="52" t="str">
        <f>IF($D54="","",IF([9]設定!$I30="",INDEX([9]第３表!$F$10:$Q$66,MATCH([9]設定!$D30,[9]第３表!$C$10:$C$66,0),3),[9]設定!$I30))</f>
        <v>x</v>
      </c>
      <c r="H54" s="53" t="str">
        <f>IF($D54="","",IF([9]設定!$I30="",INDEX([9]第３表!$F$10:$Q$66,MATCH([9]設定!$D30,[9]第３表!$C$10:$C$66,0),4),[9]設定!$I30))</f>
        <v>x</v>
      </c>
      <c r="I54" s="54" t="str">
        <f>IF($D54="","",IF([9]設定!$I30="",INDEX([9]第３表!$F$10:$Q$66,MATCH([9]設定!$D30,[9]第３表!$C$10:$C$66,0),5),[9]設定!$I30))</f>
        <v>x</v>
      </c>
      <c r="J54" s="54" t="str">
        <f>IF($D54="","",IF([9]設定!$I30="",INDEX([9]第３表!$F$10:$Q$66,MATCH([9]設定!$D30,[9]第３表!$C$10:$C$66,0),6),[9]設定!$I30))</f>
        <v>x</v>
      </c>
      <c r="K54" s="54" t="str">
        <f>IF($D54="","",IF([9]設定!$I30="",INDEX([9]第３表!$F$10:$Q$66,MATCH([9]設定!$D30,[9]第３表!$C$10:$C$66,0),7),[9]設定!$I30))</f>
        <v>x</v>
      </c>
      <c r="L54" s="55" t="str">
        <f>IF($D54="","",IF([9]設定!$I30="",INDEX([9]第３表!$F$10:$Q$66,MATCH([9]設定!$D30,[9]第３表!$C$10:$C$66,0),8),[9]設定!$I30))</f>
        <v>x</v>
      </c>
      <c r="M54" s="56" t="str">
        <f>IF($D54="","",IF([9]設定!$I30="",INDEX([9]第３表!$F$10:$Q$66,MATCH([9]設定!$D30,[9]第３表!$C$10:$C$66,0),9),[9]設定!$I30))</f>
        <v>x</v>
      </c>
      <c r="N54" s="56" t="str">
        <f>IF($D54="","",IF([9]設定!$I30="",INDEX([9]第３表!$F$10:$Q$66,MATCH([9]設定!$D30,[9]第３表!$C$10:$C$66,0),10),[9]設定!$I30))</f>
        <v>x</v>
      </c>
      <c r="O54" s="56" t="str">
        <f>IF($D54="","",IF([9]設定!$I30="",INDEX([9]第３表!$F$10:$Q$66,MATCH([9]設定!$D30,[9]第３表!$C$10:$C$66,0),11),[9]設定!$I30))</f>
        <v>x</v>
      </c>
      <c r="P54" s="57" t="str">
        <f>IF($D54="","",IF([9]設定!$I30="",INDEX([9]第３表!$F$10:$Q$66,MATCH([9]設定!$D30,[9]第３表!$C$10:$C$66,0),12),[9]設定!$I30))</f>
        <v>x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IF($D55="","",IF([9]設定!$I31="",INDEX([9]第３表!$F$10:$Q$66,MATCH([9]設定!$D31,[9]第３表!$C$10:$C$66,0),1),[9]設定!$I31))</f>
        <v>20.7</v>
      </c>
      <c r="F55" s="52">
        <f>IF($D55="","",IF([9]設定!$I31="",INDEX([9]第３表!$F$10:$Q$66,MATCH([9]設定!$D31,[9]第３表!$C$10:$C$66,0),2),[9]設定!$I31))</f>
        <v>160.6</v>
      </c>
      <c r="G55" s="52">
        <f>IF($D55="","",IF([9]設定!$I31="",INDEX([9]第３表!$F$10:$Q$66,MATCH([9]設定!$D31,[9]第３表!$C$10:$C$66,0),3),[9]設定!$I31))</f>
        <v>155.19999999999999</v>
      </c>
      <c r="H55" s="52">
        <f>IF($D55="","",IF([9]設定!$I31="",INDEX([9]第３表!$F$10:$Q$66,MATCH([9]設定!$D31,[9]第３表!$C$10:$C$66,0),4),[9]設定!$I31))</f>
        <v>5.4</v>
      </c>
      <c r="I55" s="54">
        <f>IF($D55="","",IF([9]設定!$I31="",INDEX([9]第３表!$F$10:$Q$66,MATCH([9]設定!$D31,[9]第３表!$C$10:$C$66,0),5),[9]設定!$I31))</f>
        <v>21.3</v>
      </c>
      <c r="J55" s="54">
        <f>IF($D55="","",IF([9]設定!$I31="",INDEX([9]第３表!$F$10:$Q$66,MATCH([9]設定!$D31,[9]第３表!$C$10:$C$66,0),6),[9]設定!$I31))</f>
        <v>173.8</v>
      </c>
      <c r="K55" s="54">
        <f>IF($D55="","",IF([9]設定!$I31="",INDEX([9]第３表!$F$10:$Q$66,MATCH([9]設定!$D31,[9]第３表!$C$10:$C$66,0),7),[9]設定!$I31))</f>
        <v>167.4</v>
      </c>
      <c r="L55" s="55">
        <f>IF($D55="","",IF([9]設定!$I31="",INDEX([9]第３表!$F$10:$Q$66,MATCH([9]設定!$D31,[9]第３表!$C$10:$C$66,0),8),[9]設定!$I31))</f>
        <v>6.4</v>
      </c>
      <c r="M55" s="56">
        <f>IF($D55="","",IF([9]設定!$I31="",INDEX([9]第３表!$F$10:$Q$66,MATCH([9]設定!$D31,[9]第３表!$C$10:$C$66,0),9),[9]設定!$I31))</f>
        <v>19.8</v>
      </c>
      <c r="N55" s="56">
        <f>IF($D55="","",IF([9]設定!$I31="",INDEX([9]第３表!$F$10:$Q$66,MATCH([9]設定!$D31,[9]第３表!$C$10:$C$66,0),10),[9]設定!$I31))</f>
        <v>137.6</v>
      </c>
      <c r="O55" s="56">
        <f>IF($D55="","",IF([9]設定!$I31="",INDEX([9]第３表!$F$10:$Q$66,MATCH([9]設定!$D31,[9]第３表!$C$10:$C$66,0),11),[9]設定!$I31))</f>
        <v>134</v>
      </c>
      <c r="P55" s="57">
        <f>IF($D55="","",IF([9]設定!$I31="",INDEX([9]第３表!$F$10:$Q$66,MATCH([9]設定!$D31,[9]第３表!$C$10:$C$66,0),12),[9]設定!$I31))</f>
        <v>3.6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IF($D56="","",IF([9]設定!$I32="",INDEX([9]第３表!$F$10:$Q$66,MATCH([9]設定!$D32,[9]第３表!$C$10:$C$66,0),1),[9]設定!$I32))</f>
        <v>17.899999999999999</v>
      </c>
      <c r="F56" s="52">
        <f>IF($D56="","",IF([9]設定!$I32="",INDEX([9]第３表!$F$10:$Q$66,MATCH([9]設定!$D32,[9]第３表!$C$10:$C$66,0),2),[9]設定!$I32))</f>
        <v>155.1</v>
      </c>
      <c r="G56" s="52">
        <f>IF($D56="","",IF([9]設定!$I32="",INDEX([9]第３表!$F$10:$Q$66,MATCH([9]設定!$D32,[9]第３表!$C$10:$C$66,0),3),[9]設定!$I32))</f>
        <v>140.1</v>
      </c>
      <c r="H56" s="53">
        <f>IF($D56="","",IF([9]設定!$I32="",INDEX([9]第３表!$F$10:$Q$66,MATCH([9]設定!$D32,[9]第３表!$C$10:$C$66,0),4),[9]設定!$I32))</f>
        <v>15</v>
      </c>
      <c r="I56" s="54">
        <f>IF($D56="","",IF([9]設定!$I32="",INDEX([9]第３表!$F$10:$Q$66,MATCH([9]設定!$D32,[9]第３表!$C$10:$C$66,0),5),[9]設定!$I32))</f>
        <v>17.7</v>
      </c>
      <c r="J56" s="54">
        <f>IF($D56="","",IF([9]設定!$I32="",INDEX([9]第３表!$F$10:$Q$66,MATCH([9]設定!$D32,[9]第３表!$C$10:$C$66,0),6),[9]設定!$I32))</f>
        <v>154.80000000000001</v>
      </c>
      <c r="K56" s="54">
        <f>IF($D56="","",IF([9]設定!$I32="",INDEX([9]第３表!$F$10:$Q$66,MATCH([9]設定!$D32,[9]第３表!$C$10:$C$66,0),7),[9]設定!$I32))</f>
        <v>139.6</v>
      </c>
      <c r="L56" s="55">
        <f>IF($D56="","",IF([9]設定!$I32="",INDEX([9]第３表!$F$10:$Q$66,MATCH([9]設定!$D32,[9]第３表!$C$10:$C$66,0),8),[9]設定!$I32))</f>
        <v>15.2</v>
      </c>
      <c r="M56" s="56">
        <f>IF($D56="","",IF([9]設定!$I32="",INDEX([9]第３表!$F$10:$Q$66,MATCH([9]設定!$D32,[9]第３表!$C$10:$C$66,0),9),[9]設定!$I32))</f>
        <v>18.7</v>
      </c>
      <c r="N56" s="56">
        <f>IF($D56="","",IF([9]設定!$I32="",INDEX([9]第３表!$F$10:$Q$66,MATCH([9]設定!$D32,[9]第３表!$C$10:$C$66,0),10),[9]設定!$I32))</f>
        <v>155.69999999999999</v>
      </c>
      <c r="O56" s="56">
        <f>IF($D56="","",IF([9]設定!$I32="",INDEX([9]第３表!$F$10:$Q$66,MATCH([9]設定!$D32,[9]第３表!$C$10:$C$66,0),11),[9]設定!$I32))</f>
        <v>141.69999999999999</v>
      </c>
      <c r="P56" s="57">
        <f>IF($D56="","",IF([9]設定!$I32="",INDEX([9]第３表!$F$10:$Q$66,MATCH([9]設定!$D32,[9]第３表!$C$10:$C$66,0),12),[9]設定!$I32))</f>
        <v>14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IF($D57="","",IF([9]設定!$I33="",INDEX([9]第３表!$F$10:$Q$66,MATCH([9]設定!$D33,[9]第３表!$C$10:$C$66,0),1),[9]設定!$I33))</f>
        <v>15.6</v>
      </c>
      <c r="F57" s="52">
        <f>IF($D57="","",IF([9]設定!$I33="",INDEX([9]第３表!$F$10:$Q$66,MATCH([9]設定!$D33,[9]第３表!$C$10:$C$66,0),2),[9]設定!$I33))</f>
        <v>100.1</v>
      </c>
      <c r="G57" s="52">
        <f>IF($D57="","",IF([9]設定!$I33="",INDEX([9]第３表!$F$10:$Q$66,MATCH([9]設定!$D33,[9]第３表!$C$10:$C$66,0),3),[9]設定!$I33))</f>
        <v>94.2</v>
      </c>
      <c r="H57" s="53">
        <f>IF($D57="","",IF([9]設定!$I33="",INDEX([9]第３表!$F$10:$Q$66,MATCH([9]設定!$D33,[9]第３表!$C$10:$C$66,0),4),[9]設定!$I33))</f>
        <v>5.9</v>
      </c>
      <c r="I57" s="54">
        <f>IF($D57="","",IF([9]設定!$I33="",INDEX([9]第３表!$F$10:$Q$66,MATCH([9]設定!$D33,[9]第３表!$C$10:$C$66,0),5),[9]設定!$I33))</f>
        <v>16.100000000000001</v>
      </c>
      <c r="J57" s="54">
        <f>IF($D57="","",IF([9]設定!$I33="",INDEX([9]第３表!$F$10:$Q$66,MATCH([9]設定!$D33,[9]第３表!$C$10:$C$66,0),6),[9]設定!$I33))</f>
        <v>112.2</v>
      </c>
      <c r="K57" s="54">
        <f>IF($D57="","",IF([9]設定!$I33="",INDEX([9]第３表!$F$10:$Q$66,MATCH([9]設定!$D33,[9]第３表!$C$10:$C$66,0),7),[9]設定!$I33))</f>
        <v>102.7</v>
      </c>
      <c r="L57" s="55">
        <f>IF($D57="","",IF([9]設定!$I33="",INDEX([9]第３表!$F$10:$Q$66,MATCH([9]設定!$D33,[9]第３表!$C$10:$C$66,0),8),[9]設定!$I33))</f>
        <v>9.5</v>
      </c>
      <c r="M57" s="56">
        <f>IF($D57="","",IF([9]設定!$I33="",INDEX([9]第３表!$F$10:$Q$66,MATCH([9]設定!$D33,[9]第３表!$C$10:$C$66,0),9),[9]設定!$I33))</f>
        <v>15.3</v>
      </c>
      <c r="N57" s="56">
        <f>IF($D57="","",IF([9]設定!$I33="",INDEX([9]第３表!$F$10:$Q$66,MATCH([9]設定!$D33,[9]第３表!$C$10:$C$66,0),10),[9]設定!$I33))</f>
        <v>93.4</v>
      </c>
      <c r="O57" s="56">
        <f>IF($D57="","",IF([9]設定!$I33="",INDEX([9]第３表!$F$10:$Q$66,MATCH([9]設定!$D33,[9]第３表!$C$10:$C$66,0),11),[9]設定!$I33))</f>
        <v>89.5</v>
      </c>
      <c r="P57" s="57">
        <f>IF($D57="","",IF([9]設定!$I33="",INDEX([9]第３表!$F$10:$Q$66,MATCH([9]設定!$D33,[9]第３表!$C$10:$C$66,0),12),[9]設定!$I33))</f>
        <v>3.9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f>IF($D58="","",IF([9]設定!$I34="",INDEX([9]第３表!$F$10:$Q$66,MATCH([9]設定!$D34,[9]第３表!$C$10:$C$66,0),1),[9]設定!$I34))</f>
        <v>16.899999999999999</v>
      </c>
      <c r="F58" s="52">
        <f>IF($D58="","",IF([9]設定!$I34="",INDEX([9]第３表!$F$10:$Q$66,MATCH([9]設定!$D34,[9]第３表!$C$10:$C$66,0),2),[9]設定!$I34))</f>
        <v>153.1</v>
      </c>
      <c r="G58" s="52">
        <f>IF($D58="","",IF([9]設定!$I34="",INDEX([9]第３表!$F$10:$Q$66,MATCH([9]設定!$D34,[9]第３表!$C$10:$C$66,0),3),[9]設定!$I34))</f>
        <v>144.9</v>
      </c>
      <c r="H58" s="53">
        <f>IF($D58="","",IF([9]設定!$I34="",INDEX([9]第３表!$F$10:$Q$66,MATCH([9]設定!$D34,[9]第３表!$C$10:$C$66,0),4),[9]設定!$I34))</f>
        <v>8.1999999999999993</v>
      </c>
      <c r="I58" s="54">
        <f>IF($D58="","",IF([9]設定!$I34="",INDEX([9]第３表!$F$10:$Q$66,MATCH([9]設定!$D34,[9]第３表!$C$10:$C$66,0),5),[9]設定!$I34))</f>
        <v>17.100000000000001</v>
      </c>
      <c r="J58" s="54">
        <f>IF($D58="","",IF([9]設定!$I34="",INDEX([9]第３表!$F$10:$Q$66,MATCH([9]設定!$D34,[9]第３表!$C$10:$C$66,0),6),[9]設定!$I34))</f>
        <v>163.69999999999999</v>
      </c>
      <c r="K58" s="54">
        <f>IF($D58="","",IF([9]設定!$I34="",INDEX([9]第３表!$F$10:$Q$66,MATCH([9]設定!$D34,[9]第３表!$C$10:$C$66,0),7),[9]設定!$I34))</f>
        <v>154.19999999999999</v>
      </c>
      <c r="L58" s="55">
        <f>IF($D58="","",IF([9]設定!$I34="",INDEX([9]第３表!$F$10:$Q$66,MATCH([9]設定!$D34,[9]第３表!$C$10:$C$66,0),8),[9]設定!$I34))</f>
        <v>9.5</v>
      </c>
      <c r="M58" s="56">
        <f>IF($D58="","",IF([9]設定!$I34="",INDEX([9]第３表!$F$10:$Q$66,MATCH([9]設定!$D34,[9]第３表!$C$10:$C$66,0),9),[9]設定!$I34))</f>
        <v>16.600000000000001</v>
      </c>
      <c r="N58" s="56">
        <f>IF($D58="","",IF([9]設定!$I34="",INDEX([9]第３表!$F$10:$Q$66,MATCH([9]設定!$D34,[9]第３表!$C$10:$C$66,0),10),[9]設定!$I34))</f>
        <v>135.6</v>
      </c>
      <c r="O58" s="56">
        <f>IF($D58="","",IF([9]設定!$I34="",INDEX([9]第３表!$F$10:$Q$66,MATCH([9]設定!$D34,[9]第３表!$C$10:$C$66,0),11),[9]設定!$I34))</f>
        <v>129.5</v>
      </c>
      <c r="P58" s="57">
        <f>IF($D58="","",IF([9]設定!$I34="",INDEX([9]第３表!$F$10:$Q$66,MATCH([9]設定!$D34,[9]第３表!$C$10:$C$66,0),12),[9]設定!$I34))</f>
        <v>6.1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IF($D59="","",IF([9]設定!$I35="",INDEX([9]第３表!$F$10:$Q$66,MATCH([9]設定!$D35,[9]第３表!$C$10:$C$66,0),1),[9]設定!$I35))</f>
        <v>18.399999999999999</v>
      </c>
      <c r="F59" s="52">
        <f>IF($D59="","",IF([9]設定!$I35="",INDEX([9]第３表!$F$10:$Q$66,MATCH([9]設定!$D35,[9]第３表!$C$10:$C$66,0),2),[9]設定!$I35))</f>
        <v>166.9</v>
      </c>
      <c r="G59" s="52">
        <f>IF($D59="","",IF([9]設定!$I35="",INDEX([9]第３表!$F$10:$Q$66,MATCH([9]設定!$D35,[9]第３表!$C$10:$C$66,0),3),[9]設定!$I35))</f>
        <v>135.69999999999999</v>
      </c>
      <c r="H59" s="53">
        <f>IF($D59="","",IF([9]設定!$I35="",INDEX([9]第３表!$F$10:$Q$66,MATCH([9]設定!$D35,[9]第３表!$C$10:$C$66,0),4),[9]設定!$I35))</f>
        <v>31.2</v>
      </c>
      <c r="I59" s="54">
        <f>IF($D59="","",IF([9]設定!$I35="",INDEX([9]第３表!$F$10:$Q$66,MATCH([9]設定!$D35,[9]第３表!$C$10:$C$66,0),5),[9]設定!$I35))</f>
        <v>18.899999999999999</v>
      </c>
      <c r="J59" s="54">
        <f>IF($D59="","",IF([9]設定!$I35="",INDEX([9]第３表!$F$10:$Q$66,MATCH([9]設定!$D35,[9]第３表!$C$10:$C$66,0),6),[9]設定!$I35))</f>
        <v>179.9</v>
      </c>
      <c r="K59" s="54">
        <f>IF($D59="","",IF([9]設定!$I35="",INDEX([9]第３表!$F$10:$Q$66,MATCH([9]設定!$D35,[9]第３表!$C$10:$C$66,0),7),[9]設定!$I35))</f>
        <v>142</v>
      </c>
      <c r="L59" s="55">
        <f>IF($D59="","",IF([9]設定!$I35="",INDEX([9]第３表!$F$10:$Q$66,MATCH([9]設定!$D35,[9]第３表!$C$10:$C$66,0),8),[9]設定!$I35))</f>
        <v>37.9</v>
      </c>
      <c r="M59" s="56">
        <f>IF($D59="","",IF([9]設定!$I35="",INDEX([9]第３表!$F$10:$Q$66,MATCH([9]設定!$D35,[9]第３表!$C$10:$C$66,0),9),[9]設定!$I35))</f>
        <v>18</v>
      </c>
      <c r="N59" s="56">
        <f>IF($D59="","",IF([9]設定!$I35="",INDEX([9]第３表!$F$10:$Q$66,MATCH([9]設定!$D35,[9]第３表!$C$10:$C$66,0),10),[9]設定!$I35))</f>
        <v>155.4</v>
      </c>
      <c r="O59" s="56">
        <f>IF($D59="","",IF([9]設定!$I35="",INDEX([9]第３表!$F$10:$Q$66,MATCH([9]設定!$D35,[9]第３表!$C$10:$C$66,0),11),[9]設定!$I35))</f>
        <v>130.19999999999999</v>
      </c>
      <c r="P59" s="57">
        <f>IF($D59="","",IF([9]設定!$I35="",INDEX([9]第３表!$F$10:$Q$66,MATCH([9]設定!$D35,[9]第３表!$C$10:$C$66,0),12),[9]設定!$I35))</f>
        <v>25.2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IF($D60="","",IF([9]設定!$I36="",INDEX([9]第３表!$F$10:$Q$66,MATCH([9]設定!$D36,[9]第３表!$C$10:$C$66,0),1),[9]設定!$I36))</f>
        <v>19</v>
      </c>
      <c r="F60" s="52">
        <f>IF($D60="","",IF([9]設定!$I36="",INDEX([9]第３表!$F$10:$Q$66,MATCH([9]設定!$D36,[9]第３表!$C$10:$C$66,0),2),[9]設定!$I36))</f>
        <v>141.4</v>
      </c>
      <c r="G60" s="52">
        <f>IF($D60="","",IF([9]設定!$I36="",INDEX([9]第３表!$F$10:$Q$66,MATCH([9]設定!$D36,[9]第３表!$C$10:$C$66,0),3),[9]設定!$I36))</f>
        <v>137.30000000000001</v>
      </c>
      <c r="H60" s="53">
        <f>IF($D60="","",IF([9]設定!$I36="",INDEX([9]第３表!$F$10:$Q$66,MATCH([9]設定!$D36,[9]第３表!$C$10:$C$66,0),4),[9]設定!$I36))</f>
        <v>4.0999999999999996</v>
      </c>
      <c r="I60" s="54">
        <f>IF($D60="","",IF([9]設定!$I36="",INDEX([9]第３表!$F$10:$Q$66,MATCH([9]設定!$D36,[9]第３表!$C$10:$C$66,0),5),[9]設定!$I36))</f>
        <v>19.5</v>
      </c>
      <c r="J60" s="54">
        <f>IF($D60="","",IF([9]設定!$I36="",INDEX([9]第３表!$F$10:$Q$66,MATCH([9]設定!$D36,[9]第３表!$C$10:$C$66,0),6),[9]設定!$I36))</f>
        <v>150.80000000000001</v>
      </c>
      <c r="K60" s="54">
        <f>IF($D60="","",IF([9]設定!$I36="",INDEX([9]第３表!$F$10:$Q$66,MATCH([9]設定!$D36,[9]第３表!$C$10:$C$66,0),7),[9]設定!$I36))</f>
        <v>145.1</v>
      </c>
      <c r="L60" s="55">
        <f>IF($D60="","",IF([9]設定!$I36="",INDEX([9]第３表!$F$10:$Q$66,MATCH([9]設定!$D36,[9]第３表!$C$10:$C$66,0),8),[9]設定!$I36))</f>
        <v>5.7</v>
      </c>
      <c r="M60" s="56">
        <f>IF($D60="","",IF([9]設定!$I36="",INDEX([9]第３表!$F$10:$Q$66,MATCH([9]設定!$D36,[9]第３表!$C$10:$C$66,0),9),[9]設定!$I36))</f>
        <v>18.8</v>
      </c>
      <c r="N60" s="56">
        <f>IF($D60="","",IF([9]設定!$I36="",INDEX([9]第３表!$F$10:$Q$66,MATCH([9]設定!$D36,[9]第３表!$C$10:$C$66,0),10),[9]設定!$I36))</f>
        <v>138.19999999999999</v>
      </c>
      <c r="O60" s="56">
        <f>IF($D60="","",IF([9]設定!$I36="",INDEX([9]第３表!$F$10:$Q$66,MATCH([9]設定!$D36,[9]第３表!$C$10:$C$66,0),11),[9]設定!$I36))</f>
        <v>134.6</v>
      </c>
      <c r="P60" s="57">
        <f>IF($D60="","",IF([9]設定!$I36="",INDEX([9]第３表!$F$10:$Q$66,MATCH([9]設定!$D36,[9]第３表!$C$10:$C$66,0),12),[9]設定!$I36))</f>
        <v>3.6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IF($D61="","",IF([9]設定!$I37="",INDEX([9]第３表!$F$10:$Q$66,MATCH([9]設定!$D37,[9]第３表!$C$10:$C$66,0),1),[9]設定!$I37))</f>
        <v>19.399999999999999</v>
      </c>
      <c r="F61" s="52">
        <f>IF($D61="","",IF([9]設定!$I37="",INDEX([9]第３表!$F$10:$Q$66,MATCH([9]設定!$D37,[9]第３表!$C$10:$C$66,0),2),[9]設定!$I37))</f>
        <v>154.9</v>
      </c>
      <c r="G61" s="52">
        <f>IF($D61="","",IF([9]設定!$I37="",INDEX([9]第３表!$F$10:$Q$66,MATCH([9]設定!$D37,[9]第３表!$C$10:$C$66,0),3),[9]設定!$I37))</f>
        <v>148.9</v>
      </c>
      <c r="H61" s="53">
        <f>IF($D61="","",IF([9]設定!$I37="",INDEX([9]第３表!$F$10:$Q$66,MATCH([9]設定!$D37,[9]第３表!$C$10:$C$66,0),4),[9]設定!$I37))</f>
        <v>6</v>
      </c>
      <c r="I61" s="54">
        <f>IF($D61="","",IF([9]設定!$I37="",INDEX([9]第３表!$F$10:$Q$66,MATCH([9]設定!$D37,[9]第３表!$C$10:$C$66,0),5),[9]設定!$I37))</f>
        <v>19.600000000000001</v>
      </c>
      <c r="J61" s="54">
        <f>IF($D61="","",IF([9]設定!$I37="",INDEX([9]第３表!$F$10:$Q$66,MATCH([9]設定!$D37,[9]第３表!$C$10:$C$66,0),6),[9]設定!$I37))</f>
        <v>158.9</v>
      </c>
      <c r="K61" s="54">
        <f>IF($D61="","",IF([9]設定!$I37="",INDEX([9]第３表!$F$10:$Q$66,MATCH([9]設定!$D37,[9]第３表!$C$10:$C$66,0),7),[9]設定!$I37))</f>
        <v>153</v>
      </c>
      <c r="L61" s="55">
        <f>IF($D61="","",IF([9]設定!$I37="",INDEX([9]第３表!$F$10:$Q$66,MATCH([9]設定!$D37,[9]第３表!$C$10:$C$66,0),8),[9]設定!$I37))</f>
        <v>5.9</v>
      </c>
      <c r="M61" s="56">
        <f>IF($D61="","",IF([9]設定!$I37="",INDEX([9]第３表!$F$10:$Q$66,MATCH([9]設定!$D37,[9]第３表!$C$10:$C$66,0),9),[9]設定!$I37))</f>
        <v>19.100000000000001</v>
      </c>
      <c r="N61" s="56">
        <f>IF($D61="","",IF([9]設定!$I37="",INDEX([9]第３表!$F$10:$Q$66,MATCH([9]設定!$D37,[9]第３表!$C$10:$C$66,0),10),[9]設定!$I37))</f>
        <v>148.9</v>
      </c>
      <c r="O61" s="56">
        <f>IF($D61="","",IF([9]設定!$I37="",INDEX([9]第３表!$F$10:$Q$66,MATCH([9]設定!$D37,[9]第３表!$C$10:$C$66,0),11),[9]設定!$I37))</f>
        <v>142.80000000000001</v>
      </c>
      <c r="P61" s="57">
        <f>IF($D61="","",IF([9]設定!$I37="",INDEX([9]第３表!$F$10:$Q$66,MATCH([9]設定!$D37,[9]第３表!$C$10:$C$66,0),12),[9]設定!$I37))</f>
        <v>6.1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IF($D62="","",IF([9]設定!$I38="",INDEX([9]第３表!$F$10:$Q$66,MATCH([9]設定!$D38,[9]第３表!$C$10:$C$66,0),1),[9]設定!$I38))</f>
        <v>18.100000000000001</v>
      </c>
      <c r="F62" s="52">
        <f>IF($D62="","",IF([9]設定!$I38="",INDEX([9]第３表!$F$10:$Q$66,MATCH([9]設定!$D38,[9]第３表!$C$10:$C$66,0),2),[9]設定!$I38))</f>
        <v>134.30000000000001</v>
      </c>
      <c r="G62" s="52">
        <f>IF($D62="","",IF([9]設定!$I38="",INDEX([9]第３表!$F$10:$Q$66,MATCH([9]設定!$D38,[9]第３表!$C$10:$C$66,0),3),[9]設定!$I38))</f>
        <v>125.8</v>
      </c>
      <c r="H62" s="53">
        <f>IF($D62="","",IF([9]設定!$I38="",INDEX([9]第３表!$F$10:$Q$66,MATCH([9]設定!$D38,[9]第３表!$C$10:$C$66,0),4),[9]設定!$I38))</f>
        <v>8.5</v>
      </c>
      <c r="I62" s="54">
        <f>IF($D62="","",IF([9]設定!$I38="",INDEX([9]第３表!$F$10:$Q$66,MATCH([9]設定!$D38,[9]第３表!$C$10:$C$66,0),5),[9]設定!$I38))</f>
        <v>18.399999999999999</v>
      </c>
      <c r="J62" s="54">
        <f>IF($D62="","",IF([9]設定!$I38="",INDEX([9]第３表!$F$10:$Q$66,MATCH([9]設定!$D38,[9]第３表!$C$10:$C$66,0),6),[9]設定!$I38))</f>
        <v>150.69999999999999</v>
      </c>
      <c r="K62" s="54">
        <f>IF($D62="","",IF([9]設定!$I38="",INDEX([9]第３表!$F$10:$Q$66,MATCH([9]設定!$D38,[9]第３表!$C$10:$C$66,0),7),[9]設定!$I38))</f>
        <v>138.69999999999999</v>
      </c>
      <c r="L62" s="55">
        <f>IF($D62="","",IF([9]設定!$I38="",INDEX([9]第３表!$F$10:$Q$66,MATCH([9]設定!$D38,[9]第３表!$C$10:$C$66,0),8),[9]設定!$I38))</f>
        <v>12</v>
      </c>
      <c r="M62" s="56">
        <f>IF($D62="","",IF([9]設定!$I38="",INDEX([9]第３表!$F$10:$Q$66,MATCH([9]設定!$D38,[9]第３表!$C$10:$C$66,0),9),[9]設定!$I38))</f>
        <v>17.8</v>
      </c>
      <c r="N62" s="56">
        <f>IF($D62="","",IF([9]設定!$I38="",INDEX([9]第３表!$F$10:$Q$66,MATCH([9]設定!$D38,[9]第３表!$C$10:$C$66,0),10),[9]設定!$I38))</f>
        <v>117</v>
      </c>
      <c r="O62" s="56">
        <f>IF($D62="","",IF([9]設定!$I38="",INDEX([9]第３表!$F$10:$Q$66,MATCH([9]設定!$D38,[9]第３表!$C$10:$C$66,0),11),[9]設定!$I38))</f>
        <v>112.2</v>
      </c>
      <c r="P62" s="57">
        <f>IF($D62="","",IF([9]設定!$I38="",INDEX([9]第３表!$F$10:$Q$66,MATCH([9]設定!$D38,[9]第３表!$C$10:$C$66,0),12),[9]設定!$I38))</f>
        <v>4.8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IF($D63="","",IF([9]設定!$I39="",INDEX([9]第３表!$F$10:$Q$66,MATCH([9]設定!$D39,[9]第３表!$C$10:$C$66,0),1),[9]設定!$I39))</f>
        <v>18.600000000000001</v>
      </c>
      <c r="F63" s="48">
        <f>IF($D63="","",IF([9]設定!$I39="",INDEX([9]第３表!$F$10:$Q$66,MATCH([9]設定!$D39,[9]第３表!$C$10:$C$66,0),2),[9]設定!$I39))</f>
        <v>148.4</v>
      </c>
      <c r="G63" s="48">
        <f>IF($D63="","",IF([9]設定!$I39="",INDEX([9]第３表!$F$10:$Q$66,MATCH([9]設定!$D39,[9]第３表!$C$10:$C$66,0),3),[9]設定!$I39))</f>
        <v>137.4</v>
      </c>
      <c r="H63" s="64">
        <f>IF($D63="","",IF([9]設定!$I39="",INDEX([9]第３表!$F$10:$Q$66,MATCH([9]設定!$D39,[9]第３表!$C$10:$C$66,0),4),[9]設定!$I39))</f>
        <v>11</v>
      </c>
      <c r="I63" s="48">
        <f>IF($D63="","",IF([9]設定!$I39="",INDEX([9]第３表!$F$10:$Q$66,MATCH([9]設定!$D39,[9]第３表!$C$10:$C$66,0),5),[9]設定!$I39))</f>
        <v>18.8</v>
      </c>
      <c r="J63" s="48">
        <f>IF($D63="","",IF([9]設定!$I39="",INDEX([9]第３表!$F$10:$Q$66,MATCH([9]設定!$D39,[9]第３表!$C$10:$C$66,0),6),[9]設定!$I39))</f>
        <v>157.5</v>
      </c>
      <c r="K63" s="48">
        <f>IF($D63="","",IF([9]設定!$I39="",INDEX([9]第３表!$F$10:$Q$66,MATCH([9]設定!$D39,[9]第３表!$C$10:$C$66,0),7),[9]設定!$I39))</f>
        <v>143.30000000000001</v>
      </c>
      <c r="L63" s="64">
        <f>IF($D63="","",IF([9]設定!$I39="",INDEX([9]第３表!$F$10:$Q$66,MATCH([9]設定!$D39,[9]第３表!$C$10:$C$66,0),8),[9]設定!$I39))</f>
        <v>14.2</v>
      </c>
      <c r="M63" s="48">
        <f>IF($D63="","",IF([9]設定!$I39="",INDEX([9]第３表!$F$10:$Q$66,MATCH([9]設定!$D39,[9]第３表!$C$10:$C$66,0),9),[9]設定!$I39))</f>
        <v>18.399999999999999</v>
      </c>
      <c r="N63" s="48">
        <f>IF($D63="","",IF([9]設定!$I39="",INDEX([9]第３表!$F$10:$Q$66,MATCH([9]設定!$D39,[9]第３表!$C$10:$C$66,0),10),[9]設定!$I39))</f>
        <v>139.9</v>
      </c>
      <c r="O63" s="48">
        <f>IF($D63="","",IF([9]設定!$I39="",INDEX([9]第３表!$F$10:$Q$66,MATCH([9]設定!$D39,[9]第３表!$C$10:$C$66,0),11),[9]設定!$I39))</f>
        <v>131.9</v>
      </c>
      <c r="P63" s="64">
        <f>IF($D63="","",IF([9]設定!$I39="",INDEX([9]第３表!$F$10:$Q$66,MATCH([9]設定!$D39,[9]第３表!$C$10:$C$66,0),12),[9]設定!$I39))</f>
        <v>8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IF($D64="","",IF([9]設定!$I40="",INDEX([9]第３表!$F$10:$Q$66,MATCH([9]設定!$D40,[9]第３表!$C$10:$C$66,0),1),[9]設定!$I40))</f>
        <v>18.100000000000001</v>
      </c>
      <c r="F64" s="52">
        <f>IF($D64="","",IF([9]設定!$I40="",INDEX([9]第３表!$F$10:$Q$66,MATCH([9]設定!$D40,[9]第３表!$C$10:$C$66,0),2),[9]設定!$I40))</f>
        <v>146.4</v>
      </c>
      <c r="G64" s="52">
        <f>IF($D64="","",IF([9]設定!$I40="",INDEX([9]第３表!$F$10:$Q$66,MATCH([9]設定!$D40,[9]第３表!$C$10:$C$66,0),3),[9]設定!$I40))</f>
        <v>135.80000000000001</v>
      </c>
      <c r="H64" s="55">
        <f>IF($D64="","",IF([9]設定!$I40="",INDEX([9]第３表!$F$10:$Q$66,MATCH([9]設定!$D40,[9]第３表!$C$10:$C$66,0),4),[9]設定!$I40))</f>
        <v>10.6</v>
      </c>
      <c r="I64" s="52">
        <f>IF($D64="","",IF([9]設定!$I40="",INDEX([9]第３表!$F$10:$Q$66,MATCH([9]設定!$D40,[9]第３表!$C$10:$C$66,0),5),[9]設定!$I40))</f>
        <v>19</v>
      </c>
      <c r="J64" s="52">
        <f>IF($D64="","",IF([9]設定!$I40="",INDEX([9]第３表!$F$10:$Q$66,MATCH([9]設定!$D40,[9]第３表!$C$10:$C$66,0),6),[9]設定!$I40))</f>
        <v>156.69999999999999</v>
      </c>
      <c r="K64" s="52">
        <f>IF($D64="","",IF([9]設定!$I40="",INDEX([9]第３表!$F$10:$Q$66,MATCH([9]設定!$D40,[9]第３表!$C$10:$C$66,0),7),[9]設定!$I40))</f>
        <v>142.6</v>
      </c>
      <c r="L64" s="55">
        <f>IF($D64="","",IF([9]設定!$I40="",INDEX([9]第３表!$F$10:$Q$66,MATCH([9]設定!$D40,[9]第３表!$C$10:$C$66,0),8),[9]設定!$I40))</f>
        <v>14.1</v>
      </c>
      <c r="M64" s="52">
        <f>IF($D64="","",IF([9]設定!$I40="",INDEX([9]第３表!$F$10:$Q$66,MATCH([9]設定!$D40,[9]第３表!$C$10:$C$66,0),9),[9]設定!$I40))</f>
        <v>17.399999999999999</v>
      </c>
      <c r="N64" s="52">
        <f>IF($D64="","",IF([9]設定!$I40="",INDEX([9]第３表!$F$10:$Q$66,MATCH([9]設定!$D40,[9]第３表!$C$10:$C$66,0),10),[9]設定!$I40))</f>
        <v>139</v>
      </c>
      <c r="O64" s="52">
        <f>IF($D64="","",IF([9]設定!$I40="",INDEX([9]第３表!$F$10:$Q$66,MATCH([9]設定!$D40,[9]第３表!$C$10:$C$66,0),11),[9]設定!$I40))</f>
        <v>130.9</v>
      </c>
      <c r="P64" s="55">
        <f>IF($D64="","",IF([9]設定!$I40="",INDEX([9]第３表!$F$10:$Q$66,MATCH([9]設定!$D40,[9]第３表!$C$10:$C$66,0),12),[9]設定!$I40))</f>
        <v>8.1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IF($D65="","",IF([9]設定!$I41="",INDEX([9]第３表!$F$10:$Q$66,MATCH([9]設定!$D41,[9]第３表!$C$10:$C$66,0),1),[9]設定!$I41))</f>
        <v>17.8</v>
      </c>
      <c r="F65" s="52">
        <f>IF($D65="","",IF([9]設定!$I41="",INDEX([9]第３表!$F$10:$Q$66,MATCH([9]設定!$D41,[9]第３表!$C$10:$C$66,0),2),[9]設定!$I41))</f>
        <v>145.69999999999999</v>
      </c>
      <c r="G65" s="52">
        <f>IF($D65="","",IF([9]設定!$I41="",INDEX([9]第３表!$F$10:$Q$66,MATCH([9]設定!$D41,[9]第３表!$C$10:$C$66,0),3),[9]設定!$I41))</f>
        <v>134</v>
      </c>
      <c r="H65" s="55">
        <f>IF($D65="","",IF([9]設定!$I41="",INDEX([9]第３表!$F$10:$Q$66,MATCH([9]設定!$D41,[9]第３表!$C$10:$C$66,0),4),[9]設定!$I41))</f>
        <v>11.7</v>
      </c>
      <c r="I65" s="52">
        <f>IF($D65="","",IF([9]設定!$I41="",INDEX([9]第３表!$F$10:$Q$66,MATCH([9]設定!$D41,[9]第３表!$C$10:$C$66,0),5),[9]設定!$I41))</f>
        <v>17.5</v>
      </c>
      <c r="J65" s="52">
        <f>IF($D65="","",IF([9]設定!$I41="",INDEX([9]第３表!$F$10:$Q$66,MATCH([9]設定!$D41,[9]第３表!$C$10:$C$66,0),6),[9]設定!$I41))</f>
        <v>151.1</v>
      </c>
      <c r="K65" s="52">
        <f>IF($D65="","",IF([9]設定!$I41="",INDEX([9]第３表!$F$10:$Q$66,MATCH([9]設定!$D41,[9]第３表!$C$10:$C$66,0),7),[9]設定!$I41))</f>
        <v>136.80000000000001</v>
      </c>
      <c r="L65" s="55">
        <f>IF($D65="","",IF([9]設定!$I41="",INDEX([9]第３表!$F$10:$Q$66,MATCH([9]設定!$D41,[9]第３表!$C$10:$C$66,0),8),[9]設定!$I41))</f>
        <v>14.3</v>
      </c>
      <c r="M65" s="52">
        <f>IF($D65="","",IF([9]設定!$I41="",INDEX([9]第３表!$F$10:$Q$66,MATCH([9]設定!$D41,[9]第３表!$C$10:$C$66,0),9),[9]設定!$I41))</f>
        <v>19.399999999999999</v>
      </c>
      <c r="N65" s="52">
        <f>IF($D65="","",IF([9]設定!$I41="",INDEX([9]第３表!$F$10:$Q$66,MATCH([9]設定!$D41,[9]第３表!$C$10:$C$66,0),10),[9]設定!$I41))</f>
        <v>124.2</v>
      </c>
      <c r="O65" s="52">
        <f>IF($D65="","",IF([9]設定!$I41="",INDEX([9]第３表!$F$10:$Q$66,MATCH([9]設定!$D41,[9]第３表!$C$10:$C$66,0),11),[9]設定!$I41))</f>
        <v>122.7</v>
      </c>
      <c r="P65" s="55">
        <f>IF($D65="","",IF([9]設定!$I41="",INDEX([9]第３表!$F$10:$Q$66,MATCH([9]設定!$D41,[9]第３表!$C$10:$C$66,0),12),[9]設定!$I41))</f>
        <v>1.5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IF($D66="","",IF([9]設定!$I42="",INDEX([9]第３表!$F$10:$Q$66,MATCH([9]設定!$D42,[9]第３表!$C$10:$C$66,0),1),[9]設定!$I42))</f>
        <v>x</v>
      </c>
      <c r="F66" s="52" t="str">
        <f>IF($D66="","",IF([9]設定!$I42="",INDEX([9]第３表!$F$10:$Q$66,MATCH([9]設定!$D42,[9]第３表!$C$10:$C$66,0),2),[9]設定!$I42))</f>
        <v>x</v>
      </c>
      <c r="G66" s="52" t="str">
        <f>IF($D66="","",IF([9]設定!$I42="",INDEX([9]第３表!$F$10:$Q$66,MATCH([9]設定!$D42,[9]第３表!$C$10:$C$66,0),3),[9]設定!$I42))</f>
        <v>x</v>
      </c>
      <c r="H66" s="55" t="str">
        <f>IF($D66="","",IF([9]設定!$I42="",INDEX([9]第３表!$F$10:$Q$66,MATCH([9]設定!$D42,[9]第３表!$C$10:$C$66,0),4),[9]設定!$I42))</f>
        <v>x</v>
      </c>
      <c r="I66" s="52" t="str">
        <f>IF($D66="","",IF([9]設定!$I42="",INDEX([9]第３表!$F$10:$Q$66,MATCH([9]設定!$D42,[9]第３表!$C$10:$C$66,0),5),[9]設定!$I42))</f>
        <v>x</v>
      </c>
      <c r="J66" s="52" t="str">
        <f>IF($D66="","",IF([9]設定!$I42="",INDEX([9]第３表!$F$10:$Q$66,MATCH([9]設定!$D42,[9]第３表!$C$10:$C$66,0),6),[9]設定!$I42))</f>
        <v>x</v>
      </c>
      <c r="K66" s="52" t="str">
        <f>IF($D66="","",IF([9]設定!$I42="",INDEX([9]第３表!$F$10:$Q$66,MATCH([9]設定!$D42,[9]第３表!$C$10:$C$66,0),7),[9]設定!$I42))</f>
        <v>x</v>
      </c>
      <c r="L66" s="55" t="str">
        <f>IF($D66="","",IF([9]設定!$I42="",INDEX([9]第３表!$F$10:$Q$66,MATCH([9]設定!$D42,[9]第３表!$C$10:$C$66,0),8),[9]設定!$I42))</f>
        <v>x</v>
      </c>
      <c r="M66" s="52" t="str">
        <f>IF($D66="","",IF([9]設定!$I42="",INDEX([9]第３表!$F$10:$Q$66,MATCH([9]設定!$D42,[9]第３表!$C$10:$C$66,0),9),[9]設定!$I42))</f>
        <v>x</v>
      </c>
      <c r="N66" s="52" t="str">
        <f>IF($D66="","",IF([9]設定!$I42="",INDEX([9]第３表!$F$10:$Q$66,MATCH([9]設定!$D42,[9]第３表!$C$10:$C$66,0),10),[9]設定!$I42))</f>
        <v>x</v>
      </c>
      <c r="O66" s="52" t="str">
        <f>IF($D66="","",IF([9]設定!$I42="",INDEX([9]第３表!$F$10:$Q$66,MATCH([9]設定!$D42,[9]第３表!$C$10:$C$66,0),11),[9]設定!$I42))</f>
        <v>x</v>
      </c>
      <c r="P66" s="55" t="str">
        <f>IF($D66="","",IF([9]設定!$I42="",INDEX([9]第３表!$F$10:$Q$66,MATCH([9]設定!$D42,[9]第３表!$C$10:$C$66,0),12),[9]設定!$I42))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 t="str">
        <f>IF($D67="","",IF([9]設定!$I43="",INDEX([9]第３表!$F$10:$Q$66,MATCH([9]設定!$D43,[9]第３表!$C$10:$C$66,0),1),[9]設定!$I43))</f>
        <v>x</v>
      </c>
      <c r="F67" s="52" t="str">
        <f>IF($D67="","",IF([9]設定!$I43="",INDEX([9]第３表!$F$10:$Q$66,MATCH([9]設定!$D43,[9]第３表!$C$10:$C$66,0),2),[9]設定!$I43))</f>
        <v>x</v>
      </c>
      <c r="G67" s="52" t="str">
        <f>IF($D67="","",IF([9]設定!$I43="",INDEX([9]第３表!$F$10:$Q$66,MATCH([9]設定!$D43,[9]第３表!$C$10:$C$66,0),3),[9]設定!$I43))</f>
        <v>x</v>
      </c>
      <c r="H67" s="55" t="str">
        <f>IF($D67="","",IF([9]設定!$I43="",INDEX([9]第３表!$F$10:$Q$66,MATCH([9]設定!$D43,[9]第３表!$C$10:$C$66,0),4),[9]設定!$I43))</f>
        <v>x</v>
      </c>
      <c r="I67" s="52" t="str">
        <f>IF($D67="","",IF([9]設定!$I43="",INDEX([9]第３表!$F$10:$Q$66,MATCH([9]設定!$D43,[9]第３表!$C$10:$C$66,0),5),[9]設定!$I43))</f>
        <v>x</v>
      </c>
      <c r="J67" s="52" t="str">
        <f>IF($D67="","",IF([9]設定!$I43="",INDEX([9]第３表!$F$10:$Q$66,MATCH([9]設定!$D43,[9]第３表!$C$10:$C$66,0),6),[9]設定!$I43))</f>
        <v>x</v>
      </c>
      <c r="K67" s="52" t="str">
        <f>IF($D67="","",IF([9]設定!$I43="",INDEX([9]第３表!$F$10:$Q$66,MATCH([9]設定!$D43,[9]第３表!$C$10:$C$66,0),7),[9]設定!$I43))</f>
        <v>x</v>
      </c>
      <c r="L67" s="55" t="str">
        <f>IF($D67="","",IF([9]設定!$I43="",INDEX([9]第３表!$F$10:$Q$66,MATCH([9]設定!$D43,[9]第３表!$C$10:$C$66,0),8),[9]設定!$I43))</f>
        <v>x</v>
      </c>
      <c r="M67" s="52" t="str">
        <f>IF($D67="","",IF([9]設定!$I43="",INDEX([9]第３表!$F$10:$Q$66,MATCH([9]設定!$D43,[9]第３表!$C$10:$C$66,0),9),[9]設定!$I43))</f>
        <v>x</v>
      </c>
      <c r="N67" s="52" t="str">
        <f>IF($D67="","",IF([9]設定!$I43="",INDEX([9]第３表!$F$10:$Q$66,MATCH([9]設定!$D43,[9]第３表!$C$10:$C$66,0),10),[9]設定!$I43))</f>
        <v>x</v>
      </c>
      <c r="O67" s="52" t="str">
        <f>IF($D67="","",IF([9]設定!$I43="",INDEX([9]第３表!$F$10:$Q$66,MATCH([9]設定!$D43,[9]第３表!$C$10:$C$66,0),11),[9]設定!$I43))</f>
        <v>x</v>
      </c>
      <c r="P67" s="55" t="str">
        <f>IF($D67="","",IF([9]設定!$I43="",INDEX([9]第３表!$F$10:$Q$66,MATCH([9]設定!$D43,[9]第３表!$C$10:$C$66,0),12),[9]設定!$I43))</f>
        <v>x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IF($D68="","",IF([9]設定!$I44="",INDEX([9]第３表!$F$10:$Q$66,MATCH([9]設定!$D44,[9]第３表!$C$10:$C$66,0),1),[9]設定!$I44))</f>
        <v>18.399999999999999</v>
      </c>
      <c r="F68" s="52">
        <f>IF($D68="","",IF([9]設定!$I44="",INDEX([9]第３表!$F$10:$Q$66,MATCH([9]設定!$D44,[9]第３表!$C$10:$C$66,0),2),[9]設定!$I44))</f>
        <v>150.5</v>
      </c>
      <c r="G68" s="52">
        <f>IF($D68="","",IF([9]設定!$I44="",INDEX([9]第３表!$F$10:$Q$66,MATCH([9]設定!$D44,[9]第３表!$C$10:$C$66,0),3),[9]設定!$I44))</f>
        <v>133.5</v>
      </c>
      <c r="H68" s="55">
        <f>IF($D68="","",IF([9]設定!$I44="",INDEX([9]第３表!$F$10:$Q$66,MATCH([9]設定!$D44,[9]第３表!$C$10:$C$66,0),4),[9]設定!$I44))</f>
        <v>17</v>
      </c>
      <c r="I68" s="52">
        <f>IF($D68="","",IF([9]設定!$I44="",INDEX([9]第３表!$F$10:$Q$66,MATCH([9]設定!$D44,[9]第３表!$C$10:$C$66,0),5),[9]設定!$I44))</f>
        <v>18.399999999999999</v>
      </c>
      <c r="J68" s="52">
        <f>IF($D68="","",IF([9]設定!$I44="",INDEX([9]第３表!$F$10:$Q$66,MATCH([9]設定!$D44,[9]第３表!$C$10:$C$66,0),6),[9]設定!$I44))</f>
        <v>151.5</v>
      </c>
      <c r="K68" s="52">
        <f>IF($D68="","",IF([9]設定!$I44="",INDEX([9]第３表!$F$10:$Q$66,MATCH([9]設定!$D44,[9]第３表!$C$10:$C$66,0),7),[9]設定!$I44))</f>
        <v>133.6</v>
      </c>
      <c r="L68" s="55">
        <f>IF($D68="","",IF([9]設定!$I44="",INDEX([9]第３表!$F$10:$Q$66,MATCH([9]設定!$D44,[9]第３表!$C$10:$C$66,0),8),[9]設定!$I44))</f>
        <v>17.899999999999999</v>
      </c>
      <c r="M68" s="52">
        <f>IF($D68="","",IF([9]設定!$I44="",INDEX([9]第３表!$F$10:$Q$66,MATCH([9]設定!$D44,[9]第３表!$C$10:$C$66,0),9),[9]設定!$I44))</f>
        <v>17.600000000000001</v>
      </c>
      <c r="N68" s="52">
        <f>IF($D68="","",IF([9]設定!$I44="",INDEX([9]第３表!$F$10:$Q$66,MATCH([9]設定!$D44,[9]第３表!$C$10:$C$66,0),10),[9]設定!$I44))</f>
        <v>136.9</v>
      </c>
      <c r="O68" s="52">
        <f>IF($D68="","",IF([9]設定!$I44="",INDEX([9]第３表!$F$10:$Q$66,MATCH([9]設定!$D44,[9]第３表!$C$10:$C$66,0),11),[9]設定!$I44))</f>
        <v>131.1</v>
      </c>
      <c r="P68" s="55">
        <f>IF($D68="","",IF([9]設定!$I44="",INDEX([9]第３表!$F$10:$Q$66,MATCH([9]設定!$D44,[9]第３表!$C$10:$C$66,0),12),[9]設定!$I44))</f>
        <v>5.8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IF($D69="","",IF([9]設定!$I45="",INDEX([9]第３表!$F$10:$Q$66,MATCH([9]設定!$D45,[9]第３表!$C$10:$C$66,0),1),[9]設定!$I45))</f>
        <v>19.100000000000001</v>
      </c>
      <c r="F69" s="52">
        <f>IF($D69="","",IF([9]設定!$I45="",INDEX([9]第３表!$F$10:$Q$66,MATCH([9]設定!$D45,[9]第３表!$C$10:$C$66,0),2),[9]設定!$I45))</f>
        <v>148.1</v>
      </c>
      <c r="G69" s="52">
        <f>IF($D69="","",IF([9]設定!$I45="",INDEX([9]第３表!$F$10:$Q$66,MATCH([9]設定!$D45,[9]第３表!$C$10:$C$66,0),3),[9]設定!$I45))</f>
        <v>138.9</v>
      </c>
      <c r="H69" s="55">
        <f>IF($D69="","",IF([9]設定!$I45="",INDEX([9]第３表!$F$10:$Q$66,MATCH([9]設定!$D45,[9]第３表!$C$10:$C$66,0),4),[9]設定!$I45))</f>
        <v>9.1999999999999993</v>
      </c>
      <c r="I69" s="52">
        <f>IF($D69="","",IF([9]設定!$I45="",INDEX([9]第３表!$F$10:$Q$66,MATCH([9]設定!$D45,[9]第３表!$C$10:$C$66,0),5),[9]設定!$I45))</f>
        <v>19.399999999999999</v>
      </c>
      <c r="J69" s="52">
        <f>IF($D69="","",IF([9]設定!$I45="",INDEX([9]第３表!$F$10:$Q$66,MATCH([9]設定!$D45,[9]第３表!$C$10:$C$66,0),6),[9]設定!$I45))</f>
        <v>157.4</v>
      </c>
      <c r="K69" s="52">
        <f>IF($D69="","",IF([9]設定!$I45="",INDEX([9]第３表!$F$10:$Q$66,MATCH([9]設定!$D45,[9]第３表!$C$10:$C$66,0),7),[9]設定!$I45))</f>
        <v>145.19999999999999</v>
      </c>
      <c r="L69" s="55">
        <f>IF($D69="","",IF([9]設定!$I45="",INDEX([9]第３表!$F$10:$Q$66,MATCH([9]設定!$D45,[9]第３表!$C$10:$C$66,0),8),[9]設定!$I45))</f>
        <v>12.2</v>
      </c>
      <c r="M69" s="52">
        <f>IF($D69="","",IF([9]設定!$I45="",INDEX([9]第３表!$F$10:$Q$66,MATCH([9]設定!$D45,[9]第３表!$C$10:$C$66,0),9),[9]設定!$I45))</f>
        <v>18.399999999999999</v>
      </c>
      <c r="N69" s="52">
        <f>IF($D69="","",IF([9]設定!$I45="",INDEX([9]第３表!$F$10:$Q$66,MATCH([9]設定!$D45,[9]第３表!$C$10:$C$66,0),10),[9]設定!$I45))</f>
        <v>123.9</v>
      </c>
      <c r="O69" s="52">
        <f>IF($D69="","",IF([9]設定!$I45="",INDEX([9]第３表!$F$10:$Q$66,MATCH([9]設定!$D45,[9]第３表!$C$10:$C$66,0),11),[9]設定!$I45))</f>
        <v>122.5</v>
      </c>
      <c r="P69" s="55">
        <f>IF($D69="","",IF([9]設定!$I45="",INDEX([9]第３表!$F$10:$Q$66,MATCH([9]設定!$D45,[9]第３表!$C$10:$C$66,0),12),[9]設定!$I45))</f>
        <v>1.4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IF($D70="","",IF([9]設定!$I46="",INDEX([9]第３表!$F$10:$Q$66,MATCH([9]設定!$D46,[9]第３表!$C$10:$C$66,0),1),[9]設定!$I46))</f>
        <v>18.7</v>
      </c>
      <c r="F70" s="52">
        <f>IF($D70="","",IF([9]設定!$I46="",INDEX([9]第３表!$F$10:$Q$66,MATCH([9]設定!$D46,[9]第３表!$C$10:$C$66,0),2),[9]設定!$I46))</f>
        <v>159</v>
      </c>
      <c r="G70" s="52">
        <f>IF($D70="","",IF([9]設定!$I46="",INDEX([9]第３表!$F$10:$Q$66,MATCH([9]設定!$D46,[9]第３表!$C$10:$C$66,0),3),[9]設定!$I46))</f>
        <v>137.69999999999999</v>
      </c>
      <c r="H70" s="55">
        <f>IF($D70="","",IF([9]設定!$I46="",INDEX([9]第３表!$F$10:$Q$66,MATCH([9]設定!$D46,[9]第３表!$C$10:$C$66,0),4),[9]設定!$I46))</f>
        <v>21.3</v>
      </c>
      <c r="I70" s="52">
        <f>IF($D70="","",IF([9]設定!$I46="",INDEX([9]第３表!$F$10:$Q$66,MATCH([9]設定!$D46,[9]第３表!$C$10:$C$66,0),5),[9]設定!$I46))</f>
        <v>18.899999999999999</v>
      </c>
      <c r="J70" s="52">
        <f>IF($D70="","",IF([9]設定!$I46="",INDEX([9]第３表!$F$10:$Q$66,MATCH([9]設定!$D46,[9]第３表!$C$10:$C$66,0),6),[9]設定!$I46))</f>
        <v>161.4</v>
      </c>
      <c r="K70" s="52">
        <f>IF($D70="","",IF([9]設定!$I46="",INDEX([9]第３表!$F$10:$Q$66,MATCH([9]設定!$D46,[9]第３表!$C$10:$C$66,0),7),[9]設定!$I46))</f>
        <v>138</v>
      </c>
      <c r="L70" s="55">
        <f>IF($D70="","",IF([9]設定!$I46="",INDEX([9]第３表!$F$10:$Q$66,MATCH([9]設定!$D46,[9]第３表!$C$10:$C$66,0),8),[9]設定!$I46))</f>
        <v>23.4</v>
      </c>
      <c r="M70" s="52">
        <f>IF($D70="","",IF([9]設定!$I46="",INDEX([9]第３表!$F$10:$Q$66,MATCH([9]設定!$D46,[9]第３表!$C$10:$C$66,0),9),[9]設定!$I46))</f>
        <v>17.8</v>
      </c>
      <c r="N70" s="52">
        <f>IF($D70="","",IF([9]設定!$I46="",INDEX([9]第３表!$F$10:$Q$66,MATCH([9]設定!$D46,[9]第３表!$C$10:$C$66,0),10),[9]設定!$I46))</f>
        <v>143</v>
      </c>
      <c r="O70" s="52">
        <f>IF($D70="","",IF([9]設定!$I46="",INDEX([9]第３表!$F$10:$Q$66,MATCH([9]設定!$D46,[9]第３表!$C$10:$C$66,0),11),[9]設定!$I46))</f>
        <v>135.80000000000001</v>
      </c>
      <c r="P70" s="55">
        <f>IF($D70="","",IF([9]設定!$I46="",INDEX([9]第３表!$F$10:$Q$66,MATCH([9]設定!$D46,[9]第３表!$C$10:$C$66,0),12),[9]設定!$I46))</f>
        <v>7.2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IF($D71="","",IF([9]設定!$I47="",INDEX([9]第３表!$F$10:$Q$66,MATCH([9]設定!$D47,[9]第３表!$C$10:$C$66,0),1),[9]設定!$I47))</f>
        <v>18.3</v>
      </c>
      <c r="F71" s="52">
        <f>IF($D71="","",IF([9]設定!$I47="",INDEX([9]第３表!$F$10:$Q$66,MATCH([9]設定!$D47,[9]第３表!$C$10:$C$66,0),2),[9]設定!$I47))</f>
        <v>146</v>
      </c>
      <c r="G71" s="52">
        <f>IF($D71="","",IF([9]設定!$I47="",INDEX([9]第３表!$F$10:$Q$66,MATCH([9]設定!$D47,[9]第３表!$C$10:$C$66,0),3),[9]設定!$I47))</f>
        <v>135.80000000000001</v>
      </c>
      <c r="H71" s="55">
        <f>IF($D71="","",IF([9]設定!$I47="",INDEX([9]第３表!$F$10:$Q$66,MATCH([9]設定!$D47,[9]第３表!$C$10:$C$66,0),4),[9]設定!$I47))</f>
        <v>10.199999999999999</v>
      </c>
      <c r="I71" s="52">
        <f>IF($D71="","",IF([9]設定!$I47="",INDEX([9]第３表!$F$10:$Q$66,MATCH([9]設定!$D47,[9]第３表!$C$10:$C$66,0),5),[9]設定!$I47))</f>
        <v>18.2</v>
      </c>
      <c r="J71" s="52">
        <f>IF($D71="","",IF([9]設定!$I47="",INDEX([9]第３表!$F$10:$Q$66,MATCH([9]設定!$D47,[9]第３表!$C$10:$C$66,0),6),[9]設定!$I47))</f>
        <v>151.9</v>
      </c>
      <c r="K71" s="52">
        <f>IF($D71="","",IF([9]設定!$I47="",INDEX([9]第３表!$F$10:$Q$66,MATCH([9]設定!$D47,[9]第３表!$C$10:$C$66,0),7),[9]設定!$I47))</f>
        <v>139.1</v>
      </c>
      <c r="L71" s="55">
        <f>IF($D71="","",IF([9]設定!$I47="",INDEX([9]第３表!$F$10:$Q$66,MATCH([9]設定!$D47,[9]第３表!$C$10:$C$66,0),8),[9]設定!$I47))</f>
        <v>12.8</v>
      </c>
      <c r="M71" s="52">
        <f>IF($D71="","",IF([9]設定!$I47="",INDEX([9]第３表!$F$10:$Q$66,MATCH([9]設定!$D47,[9]第３表!$C$10:$C$66,0),9),[9]設定!$I47))</f>
        <v>18.600000000000001</v>
      </c>
      <c r="N71" s="52">
        <f>IF($D71="","",IF([9]設定!$I47="",INDEX([9]第３表!$F$10:$Q$66,MATCH([9]設定!$D47,[9]第３表!$C$10:$C$66,0),10),[9]設定!$I47))</f>
        <v>126.5</v>
      </c>
      <c r="O71" s="52">
        <f>IF($D71="","",IF([9]設定!$I47="",INDEX([9]第３表!$F$10:$Q$66,MATCH([9]設定!$D47,[9]第３表!$C$10:$C$66,0),11),[9]設定!$I47))</f>
        <v>124.9</v>
      </c>
      <c r="P71" s="55">
        <f>IF($D71="","",IF([9]設定!$I47="",INDEX([9]第３表!$F$10:$Q$66,MATCH([9]設定!$D47,[9]第３表!$C$10:$C$66,0),12),[9]設定!$I47))</f>
        <v>1.6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IF($D72="","",IF([9]設定!$I48="",INDEX([9]第３表!$F$10:$Q$66,MATCH([9]設定!$D48,[9]第３表!$C$10:$C$66,0),1),[9]設定!$I48))</f>
        <v>18.100000000000001</v>
      </c>
      <c r="F72" s="55">
        <f>IF($D72="","",IF([9]設定!$I48="",INDEX([9]第３表!$F$10:$Q$66,MATCH([9]設定!$D48,[9]第３表!$C$10:$C$66,0),2),[9]設定!$I48))</f>
        <v>150.19999999999999</v>
      </c>
      <c r="G72" s="55">
        <f>IF($D72="","",IF([9]設定!$I48="",INDEX([9]第３表!$F$10:$Q$66,MATCH([9]設定!$D48,[9]第３表!$C$10:$C$66,0),3),[9]設定!$I48))</f>
        <v>138.19999999999999</v>
      </c>
      <c r="H72" s="55">
        <f>IF($D72="","",IF([9]設定!$I48="",INDEX([9]第３表!$F$10:$Q$66,MATCH([9]設定!$D48,[9]第３表!$C$10:$C$66,0),4),[9]設定!$I48))</f>
        <v>12</v>
      </c>
      <c r="I72" s="55">
        <f>IF($D72="","",IF([9]設定!$I48="",INDEX([9]第３表!$F$10:$Q$66,MATCH([9]設定!$D48,[9]第３表!$C$10:$C$66,0),5),[9]設定!$I48))</f>
        <v>18</v>
      </c>
      <c r="J72" s="55">
        <f>IF($D72="","",IF([9]設定!$I48="",INDEX([9]第３表!$F$10:$Q$66,MATCH([9]設定!$D48,[9]第３表!$C$10:$C$66,0),6),[9]設定!$I48))</f>
        <v>151.30000000000001</v>
      </c>
      <c r="K72" s="55">
        <f>IF($D72="","",IF([9]設定!$I48="",INDEX([9]第３表!$F$10:$Q$66,MATCH([9]設定!$D48,[9]第３表!$C$10:$C$66,0),7),[9]設定!$I48))</f>
        <v>137.9</v>
      </c>
      <c r="L72" s="55">
        <f>IF($D72="","",IF([9]設定!$I48="",INDEX([9]第３表!$F$10:$Q$66,MATCH([9]設定!$D48,[9]第３表!$C$10:$C$66,0),8),[9]設定!$I48))</f>
        <v>13.4</v>
      </c>
      <c r="M72" s="55">
        <f>IF($D72="","",IF([9]設定!$I48="",INDEX([9]第３表!$F$10:$Q$66,MATCH([9]設定!$D48,[9]第３表!$C$10:$C$66,0),9),[9]設定!$I48))</f>
        <v>18.600000000000001</v>
      </c>
      <c r="N72" s="55">
        <f>IF($D72="","",IF([9]設定!$I48="",INDEX([9]第３表!$F$10:$Q$66,MATCH([9]設定!$D48,[9]第３表!$C$10:$C$66,0),10),[9]設定!$I48))</f>
        <v>145.19999999999999</v>
      </c>
      <c r="O72" s="55">
        <f>IF($D72="","",IF([9]設定!$I48="",INDEX([9]第３表!$F$10:$Q$66,MATCH([9]設定!$D48,[9]第３表!$C$10:$C$66,0),11),[9]設定!$I48))</f>
        <v>139.5</v>
      </c>
      <c r="P72" s="55">
        <f>IF($D72="","",IF([9]設定!$I48="",INDEX([9]第３表!$F$10:$Q$66,MATCH([9]設定!$D48,[9]第３表!$C$10:$C$66,0),12),[9]設定!$I48))</f>
        <v>5.7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IF($D73="","",IF([9]設定!$I49="",INDEX([9]第３表!$F$10:$Q$66,MATCH([9]設定!$D49,[9]第３表!$C$10:$C$66,0),1),[9]設定!$I49))</f>
        <v>16.600000000000001</v>
      </c>
      <c r="F73" s="55">
        <f>IF($D73="","",IF([9]設定!$I49="",INDEX([9]第３表!$F$10:$Q$66,MATCH([9]設定!$D49,[9]第３表!$C$10:$C$66,0),2),[9]設定!$I49))</f>
        <v>140.6</v>
      </c>
      <c r="G73" s="55">
        <f>IF($D73="","",IF([9]設定!$I49="",INDEX([9]第３表!$F$10:$Q$66,MATCH([9]設定!$D49,[9]第３表!$C$10:$C$66,0),3),[9]設定!$I49))</f>
        <v>130.5</v>
      </c>
      <c r="H73" s="55">
        <f>IF($D73="","",IF([9]設定!$I49="",INDEX([9]第３表!$F$10:$Q$66,MATCH([9]設定!$D49,[9]第３表!$C$10:$C$66,0),4),[9]設定!$I49))</f>
        <v>10.1</v>
      </c>
      <c r="I73" s="55">
        <f>IF($D73="","",IF([9]設定!$I49="",INDEX([9]第３表!$F$10:$Q$66,MATCH([9]設定!$D49,[9]第３表!$C$10:$C$66,0),5),[9]設定!$I49))</f>
        <v>17</v>
      </c>
      <c r="J73" s="55">
        <f>IF($D73="","",IF([9]設定!$I49="",INDEX([9]第３表!$F$10:$Q$66,MATCH([9]設定!$D49,[9]第３表!$C$10:$C$66,0),6),[9]設定!$I49))</f>
        <v>144.6</v>
      </c>
      <c r="K73" s="55">
        <f>IF($D73="","",IF([9]設定!$I49="",INDEX([9]第３表!$F$10:$Q$66,MATCH([9]設定!$D49,[9]第３表!$C$10:$C$66,0),7),[9]設定!$I49))</f>
        <v>132.1</v>
      </c>
      <c r="L73" s="55">
        <f>IF($D73="","",IF([9]設定!$I49="",INDEX([9]第３表!$F$10:$Q$66,MATCH([9]設定!$D49,[9]第３表!$C$10:$C$66,0),8),[9]設定!$I49))</f>
        <v>12.5</v>
      </c>
      <c r="M73" s="55">
        <f>IF($D73="","",IF([9]設定!$I49="",INDEX([9]第３表!$F$10:$Q$66,MATCH([9]設定!$D49,[9]第３表!$C$10:$C$66,0),9),[9]設定!$I49))</f>
        <v>16.3</v>
      </c>
      <c r="N73" s="55">
        <f>IF($D73="","",IF([9]設定!$I49="",INDEX([9]第３表!$F$10:$Q$66,MATCH([9]設定!$D49,[9]第３表!$C$10:$C$66,0),10),[9]設定!$I49))</f>
        <v>136.9</v>
      </c>
      <c r="O73" s="55">
        <f>IF($D73="","",IF([9]設定!$I49="",INDEX([9]第３表!$F$10:$Q$66,MATCH([9]設定!$D49,[9]第３表!$C$10:$C$66,0),11),[9]設定!$I49))</f>
        <v>129.1</v>
      </c>
      <c r="P73" s="55">
        <f>IF($D73="","",IF([9]設定!$I49="",INDEX([9]第３表!$F$10:$Q$66,MATCH([9]設定!$D49,[9]第３表!$C$10:$C$66,0),12),[9]設定!$I49))</f>
        <v>7.8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IF($D74="","",IF([9]設定!$I50="",INDEX([9]第３表!$F$10:$Q$66,MATCH([9]設定!$D50,[9]第３表!$C$10:$C$66,0),1),[9]設定!$I50))</f>
        <v>17.7</v>
      </c>
      <c r="F74" s="55">
        <f>IF($D74="","",IF([9]設定!$I50="",INDEX([9]第３表!$F$10:$Q$66,MATCH([9]設定!$D50,[9]第３表!$C$10:$C$66,0),2),[9]設定!$I50))</f>
        <v>149.9</v>
      </c>
      <c r="G74" s="55">
        <f>IF($D74="","",IF([9]設定!$I50="",INDEX([9]第３表!$F$10:$Q$66,MATCH([9]設定!$D50,[9]第３表!$C$10:$C$66,0),3),[9]設定!$I50))</f>
        <v>138.1</v>
      </c>
      <c r="H74" s="55">
        <f>IF($D74="","",IF([9]設定!$I50="",INDEX([9]第３表!$F$10:$Q$66,MATCH([9]設定!$D50,[9]第３表!$C$10:$C$66,0),4),[9]設定!$I50))</f>
        <v>11.8</v>
      </c>
      <c r="I74" s="55">
        <f>IF($D74="","",IF([9]設定!$I50="",INDEX([9]第３表!$F$10:$Q$66,MATCH([9]設定!$D50,[9]第３表!$C$10:$C$66,0),5),[9]設定!$I50))</f>
        <v>18.100000000000001</v>
      </c>
      <c r="J74" s="55">
        <f>IF($D74="","",IF([9]設定!$I50="",INDEX([9]第３表!$F$10:$Q$66,MATCH([9]設定!$D50,[9]第３表!$C$10:$C$66,0),6),[9]設定!$I50))</f>
        <v>159</v>
      </c>
      <c r="K74" s="55">
        <f>IF($D74="","",IF([9]設定!$I50="",INDEX([9]第３表!$F$10:$Q$66,MATCH([9]設定!$D50,[9]第３表!$C$10:$C$66,0),7),[9]設定!$I50))</f>
        <v>143.9</v>
      </c>
      <c r="L74" s="55">
        <f>IF($D74="","",IF([9]設定!$I50="",INDEX([9]第３表!$F$10:$Q$66,MATCH([9]設定!$D50,[9]第３表!$C$10:$C$66,0),8),[9]設定!$I50))</f>
        <v>15.1</v>
      </c>
      <c r="M74" s="55">
        <f>IF($D74="","",IF([9]設定!$I50="",INDEX([9]第３表!$F$10:$Q$66,MATCH([9]設定!$D50,[9]第３表!$C$10:$C$66,0),9),[9]設定!$I50))</f>
        <v>17</v>
      </c>
      <c r="N74" s="55">
        <f>IF($D74="","",IF([9]設定!$I50="",INDEX([9]第３表!$F$10:$Q$66,MATCH([9]設定!$D50,[9]第３表!$C$10:$C$66,0),10),[9]設定!$I50))</f>
        <v>132.4</v>
      </c>
      <c r="O74" s="55">
        <f>IF($D74="","",IF([9]設定!$I50="",INDEX([9]第３表!$F$10:$Q$66,MATCH([9]設定!$D50,[9]第３表!$C$10:$C$66,0),11),[9]設定!$I50))</f>
        <v>127</v>
      </c>
      <c r="P74" s="55">
        <f>IF($D74="","",IF([9]設定!$I50="",INDEX([9]第３表!$F$10:$Q$66,MATCH([9]設定!$D50,[9]第３表!$C$10:$C$66,0),12),[9]設定!$I50))</f>
        <v>5.4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IF($D75="","",IF([9]設定!$I51="",INDEX([9]第３表!$F$10:$Q$66,MATCH([9]設定!$D51,[9]第３表!$C$10:$C$66,0),1),[9]設定!$I51))</f>
        <v>17.100000000000001</v>
      </c>
      <c r="F75" s="55">
        <f>IF($D75="","",IF([9]設定!$I51="",INDEX([9]第３表!$F$10:$Q$66,MATCH([9]設定!$D51,[9]第３表!$C$10:$C$66,0),2),[9]設定!$I51))</f>
        <v>136.80000000000001</v>
      </c>
      <c r="G75" s="55">
        <f>IF($D75="","",IF([9]設定!$I51="",INDEX([9]第３表!$F$10:$Q$66,MATCH([9]設定!$D51,[9]第３表!$C$10:$C$66,0),3),[9]設定!$I51))</f>
        <v>130.9</v>
      </c>
      <c r="H75" s="55">
        <f>IF($D75="","",IF([9]設定!$I51="",INDEX([9]第３表!$F$10:$Q$66,MATCH([9]設定!$D51,[9]第３表!$C$10:$C$66,0),4),[9]設定!$I51))</f>
        <v>5.9</v>
      </c>
      <c r="I75" s="55">
        <f>IF($D75="","",IF([9]設定!$I51="",INDEX([9]第３表!$F$10:$Q$66,MATCH([9]設定!$D51,[9]第３表!$C$10:$C$66,0),5),[9]設定!$I51))</f>
        <v>17.7</v>
      </c>
      <c r="J75" s="55">
        <f>IF($D75="","",IF([9]設定!$I51="",INDEX([9]第３表!$F$10:$Q$66,MATCH([9]設定!$D51,[9]第３表!$C$10:$C$66,0),6),[9]設定!$I51))</f>
        <v>145.1</v>
      </c>
      <c r="K75" s="55">
        <f>IF($D75="","",IF([9]設定!$I51="",INDEX([9]第３表!$F$10:$Q$66,MATCH([9]設定!$D51,[9]第３表!$C$10:$C$66,0),7),[9]設定!$I51))</f>
        <v>137.19999999999999</v>
      </c>
      <c r="L75" s="55">
        <f>IF($D75="","",IF([9]設定!$I51="",INDEX([9]第３表!$F$10:$Q$66,MATCH([9]設定!$D51,[9]第３表!$C$10:$C$66,0),8),[9]設定!$I51))</f>
        <v>7.9</v>
      </c>
      <c r="M75" s="55">
        <f>IF($D75="","",IF([9]設定!$I51="",INDEX([9]第３表!$F$10:$Q$66,MATCH([9]設定!$D51,[9]第３表!$C$10:$C$66,0),9),[9]設定!$I51))</f>
        <v>15.8</v>
      </c>
      <c r="N75" s="55">
        <f>IF($D75="","",IF([9]設定!$I51="",INDEX([9]第３表!$F$10:$Q$66,MATCH([9]設定!$D51,[9]第３表!$C$10:$C$66,0),10),[9]設定!$I51))</f>
        <v>119.8</v>
      </c>
      <c r="O75" s="55">
        <f>IF($D75="","",IF([9]設定!$I51="",INDEX([9]第３表!$F$10:$Q$66,MATCH([9]設定!$D51,[9]第３表!$C$10:$C$66,0),11),[9]設定!$I51))</f>
        <v>118</v>
      </c>
      <c r="P75" s="55">
        <f>IF($D75="","",IF([9]設定!$I51="",INDEX([9]第３表!$F$10:$Q$66,MATCH([9]設定!$D51,[9]第３表!$C$10:$C$66,0),12),[9]設定!$I51))</f>
        <v>1.8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IF($D76="","",IF([9]設定!$I52="",INDEX([9]第３表!$F$10:$Q$66,MATCH([9]設定!$D52,[9]第３表!$C$10:$C$66,0),1),[9]設定!$I52))</f>
        <v>16.399999999999999</v>
      </c>
      <c r="F76" s="55">
        <f>IF($D76="","",IF([9]設定!$I52="",INDEX([9]第３表!$F$10:$Q$66,MATCH([9]設定!$D52,[9]第３表!$C$10:$C$66,0),2),[9]設定!$I52))</f>
        <v>152.80000000000001</v>
      </c>
      <c r="G76" s="55">
        <f>IF($D76="","",IF([9]設定!$I52="",INDEX([9]第３表!$F$10:$Q$66,MATCH([9]設定!$D52,[9]第３表!$C$10:$C$66,0),3),[9]設定!$I52))</f>
        <v>132.4</v>
      </c>
      <c r="H76" s="55">
        <f>IF($D76="","",IF([9]設定!$I52="",INDEX([9]第３表!$F$10:$Q$66,MATCH([9]設定!$D52,[9]第３表!$C$10:$C$66,0),4),[9]設定!$I52))</f>
        <v>20.399999999999999</v>
      </c>
      <c r="I76" s="55">
        <f>IF($D76="","",IF([9]設定!$I52="",INDEX([9]第３表!$F$10:$Q$66,MATCH([9]設定!$D52,[9]第３表!$C$10:$C$66,0),5),[9]設定!$I52))</f>
        <v>16.399999999999999</v>
      </c>
      <c r="J76" s="55">
        <f>IF($D76="","",IF([9]設定!$I52="",INDEX([9]第３表!$F$10:$Q$66,MATCH([9]設定!$D52,[9]第３表!$C$10:$C$66,0),6),[9]設定!$I52))</f>
        <v>155</v>
      </c>
      <c r="K76" s="55">
        <f>IF($D76="","",IF([9]設定!$I52="",INDEX([9]第３表!$F$10:$Q$66,MATCH([9]設定!$D52,[9]第３表!$C$10:$C$66,0),7),[9]設定!$I52))</f>
        <v>133.1</v>
      </c>
      <c r="L76" s="55">
        <f>IF($D76="","",IF([9]設定!$I52="",INDEX([9]第３表!$F$10:$Q$66,MATCH([9]設定!$D52,[9]第３表!$C$10:$C$66,0),8),[9]設定!$I52))</f>
        <v>21.9</v>
      </c>
      <c r="M76" s="55">
        <f>IF($D76="","",IF([9]設定!$I52="",INDEX([9]第３表!$F$10:$Q$66,MATCH([9]設定!$D52,[9]第３表!$C$10:$C$66,0),9),[9]設定!$I52))</f>
        <v>16.5</v>
      </c>
      <c r="N76" s="55">
        <f>IF($D76="","",IF([9]設定!$I52="",INDEX([9]第３表!$F$10:$Q$66,MATCH([9]設定!$D52,[9]第３表!$C$10:$C$66,0),10),[9]設定!$I52))</f>
        <v>143.4</v>
      </c>
      <c r="O76" s="55">
        <f>IF($D76="","",IF([9]設定!$I52="",INDEX([9]第３表!$F$10:$Q$66,MATCH([9]設定!$D52,[9]第３表!$C$10:$C$66,0),11),[9]設定!$I52))</f>
        <v>129.6</v>
      </c>
      <c r="P76" s="55">
        <f>IF($D76="","",IF([9]設定!$I52="",INDEX([9]第３表!$F$10:$Q$66,MATCH([9]設定!$D52,[9]第３表!$C$10:$C$66,0),12),[9]設定!$I52))</f>
        <v>13.8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IF($D77="","",IF([9]設定!$I53="",INDEX([9]第３表!$F$10:$Q$66,MATCH([9]設定!$D53,[9]第３表!$C$10:$C$66,0),1),[9]設定!$I53))</f>
        <v>18.7</v>
      </c>
      <c r="F77" s="69">
        <f>IF($D77="","",IF([9]設定!$I53="",INDEX([9]第３表!$F$10:$Q$66,MATCH([9]設定!$D53,[9]第３表!$C$10:$C$66,0),2),[9]設定!$I53))</f>
        <v>163</v>
      </c>
      <c r="G77" s="69">
        <f>IF($D77="","",IF([9]設定!$I53="",INDEX([9]第３表!$F$10:$Q$66,MATCH([9]設定!$D53,[9]第３表!$C$10:$C$66,0),3),[9]設定!$I53))</f>
        <v>150.1</v>
      </c>
      <c r="H77" s="69">
        <f>IF($D77="","",IF([9]設定!$I53="",INDEX([9]第３表!$F$10:$Q$66,MATCH([9]設定!$D53,[9]第３表!$C$10:$C$66,0),4),[9]設定!$I53))</f>
        <v>12.9</v>
      </c>
      <c r="I77" s="69">
        <f>IF($D77="","",IF([9]設定!$I53="",INDEX([9]第３表!$F$10:$Q$66,MATCH([9]設定!$D53,[9]第３表!$C$10:$C$66,0),5),[9]設定!$I53))</f>
        <v>18.8</v>
      </c>
      <c r="J77" s="69">
        <f>IF($D77="","",IF([9]設定!$I53="",INDEX([9]第３表!$F$10:$Q$66,MATCH([9]設定!$D53,[9]第３表!$C$10:$C$66,0),6),[9]設定!$I53))</f>
        <v>164.1</v>
      </c>
      <c r="K77" s="69">
        <f>IF($D77="","",IF([9]設定!$I53="",INDEX([9]第３表!$F$10:$Q$66,MATCH([9]設定!$D53,[9]第３表!$C$10:$C$66,0),7),[9]設定!$I53))</f>
        <v>151.1</v>
      </c>
      <c r="L77" s="69">
        <f>IF($D77="","",IF([9]設定!$I53="",INDEX([9]第３表!$F$10:$Q$66,MATCH([9]設定!$D53,[9]第３表!$C$10:$C$66,0),8),[9]設定!$I53))</f>
        <v>13</v>
      </c>
      <c r="M77" s="69">
        <f>IF($D77="","",IF([9]設定!$I53="",INDEX([9]第３表!$F$10:$Q$66,MATCH([9]設定!$D53,[9]第３表!$C$10:$C$66,0),9),[9]設定!$I53))</f>
        <v>18.2</v>
      </c>
      <c r="N77" s="69">
        <f>IF($D77="","",IF([9]設定!$I53="",INDEX([9]第３表!$F$10:$Q$66,MATCH([9]設定!$D53,[9]第３表!$C$10:$C$66,0),10),[9]設定!$I53))</f>
        <v>159.5</v>
      </c>
      <c r="O77" s="69">
        <f>IF($D77="","",IF([9]設定!$I53="",INDEX([9]第３表!$F$10:$Q$66,MATCH([9]設定!$D53,[9]第３表!$C$10:$C$66,0),11),[9]設定!$I53))</f>
        <v>146.9</v>
      </c>
      <c r="P77" s="69">
        <f>IF($D77="","",IF([9]設定!$I53="",INDEX([9]第３表!$F$10:$Q$66,MATCH([9]設定!$D53,[9]第３表!$C$10:$C$66,0),12),[9]設定!$I53))</f>
        <v>12.6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IF($D78="","",IF([9]設定!$I54="",INDEX([9]第３表!$F$10:$Q$66,MATCH([9]設定!$D54,[9]第３表!$C$10:$C$66,0),1),[9]設定!$I54))</f>
        <v>17.600000000000001</v>
      </c>
      <c r="F78" s="73">
        <f>IF($D78="","",IF([9]設定!$I54="",INDEX([9]第３表!$F$10:$Q$66,MATCH([9]設定!$D54,[9]第３表!$C$10:$C$66,0),2),[9]設定!$I54))</f>
        <v>141.9</v>
      </c>
      <c r="G78" s="73">
        <f>IF($D78="","",IF([9]設定!$I54="",INDEX([9]第３表!$F$10:$Q$66,MATCH([9]設定!$D54,[9]第３表!$C$10:$C$66,0),3),[9]設定!$I54))</f>
        <v>133.4</v>
      </c>
      <c r="H78" s="73">
        <f>IF($D78="","",IF([9]設定!$I54="",INDEX([9]第３表!$F$10:$Q$66,MATCH([9]設定!$D54,[9]第３表!$C$10:$C$66,0),4),[9]設定!$I54))</f>
        <v>8.5</v>
      </c>
      <c r="I78" s="73">
        <f>IF($D78="","",IF([9]設定!$I54="",INDEX([9]第３表!$F$10:$Q$66,MATCH([9]設定!$D54,[9]第３表!$C$10:$C$66,0),5),[9]設定!$I54))</f>
        <v>17.899999999999999</v>
      </c>
      <c r="J78" s="73">
        <f>IF($D78="","",IF([9]設定!$I54="",INDEX([9]第３表!$F$10:$Q$66,MATCH([9]設定!$D54,[9]第３表!$C$10:$C$66,0),6),[9]設定!$I54))</f>
        <v>156.4</v>
      </c>
      <c r="K78" s="73">
        <f>IF($D78="","",IF([9]設定!$I54="",INDEX([9]第３表!$F$10:$Q$66,MATCH([9]設定!$D54,[9]第３表!$C$10:$C$66,0),7),[9]設定!$I54))</f>
        <v>142.9</v>
      </c>
      <c r="L78" s="73">
        <f>IF($D78="","",IF([9]設定!$I54="",INDEX([9]第３表!$F$10:$Q$66,MATCH([9]設定!$D54,[9]第３表!$C$10:$C$66,0),8),[9]設定!$I54))</f>
        <v>13.5</v>
      </c>
      <c r="M78" s="73">
        <f>IF($D78="","",IF([9]設定!$I54="",INDEX([9]第３表!$F$10:$Q$66,MATCH([9]設定!$D54,[9]第３表!$C$10:$C$66,0),9),[9]設定!$I54))</f>
        <v>17.399999999999999</v>
      </c>
      <c r="N78" s="73">
        <f>IF($D78="","",IF([9]設定!$I54="",INDEX([9]第３表!$F$10:$Q$66,MATCH([9]設定!$D54,[9]第３表!$C$10:$C$66,0),10),[9]設定!$I54))</f>
        <v>130.4</v>
      </c>
      <c r="O78" s="73">
        <f>IF($D78="","",IF([9]設定!$I54="",INDEX([9]第３表!$F$10:$Q$66,MATCH([9]設定!$D54,[9]第３表!$C$10:$C$66,0),11),[9]設定!$I54))</f>
        <v>125.8</v>
      </c>
      <c r="P78" s="73">
        <f>IF($D78="","",IF([9]設定!$I54="",INDEX([9]第３表!$F$10:$Q$66,MATCH([9]設定!$D54,[9]第３表!$C$10:$C$66,0),12),[9]設定!$I54))</f>
        <v>4.5999999999999996</v>
      </c>
    </row>
  </sheetData>
  <phoneticPr fontId="2"/>
  <printOptions horizontalCentered="1"/>
  <pageMargins left="0.59055118110236227" right="0.59055118110236227" top="0.35433070866141736" bottom="0.59055118110236227" header="0" footer="0.59055118110236227"/>
  <pageSetup paperSize="9" scale="59" orientation="portrait" blackAndWhite="1" cellComments="atEnd" horizontalDpi="300" verticalDpi="300" r:id="rId1"/>
  <headerFooter scaleWithDoc="0" alignWithMargins="0">
    <oddFooter>&amp;C- 15 -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CB944-E9DB-4987-B63C-FEE7C38B8380}">
  <sheetPr codeName="Sheet5"/>
  <dimension ref="A1:R78"/>
  <sheetViews>
    <sheetView showGridLines="0" view="pageBreakPreview" topLeftCell="A56" zoomScale="80" zoomScaleNormal="80" zoomScaleSheetLayoutView="80" workbookViewId="0">
      <selection activeCell="G84" sqref="G84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3.29687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（"&amp;[11]設定!D8&amp;DBCS([11]設定!E8)&amp;"年"&amp;DBCS([11]設定!F8)&amp;"月）"</f>
        <v>　　    （令和５年６月）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+[12]第５表!B9</f>
        <v>TL</v>
      </c>
      <c r="C9" s="46"/>
      <c r="D9" s="47" t="str">
        <f>+[12]第５表!D9</f>
        <v>調査産業計</v>
      </c>
      <c r="E9" s="48">
        <f>IF($D9="","",IF([11]設定!$H23="",INDEX([11]第３表!$F$80:$Q$136,MATCH([11]設定!$D23,[11]第３表!$C$80:$C$136,0),1),[11]設定!$H23))</f>
        <v>19.3</v>
      </c>
      <c r="F9" s="48">
        <f>IF($D9="","",IF([11]設定!$H23="",INDEX([11]第３表!$F$80:$Q$136,MATCH([11]設定!$D23,[11]第３表!$C$80:$C$136,0),2),[11]設定!$H23))</f>
        <v>146</v>
      </c>
      <c r="G9" s="48">
        <f>IF($D9="","",IF([11]設定!$H23="",INDEX([11]第３表!$F$80:$Q$136,MATCH([11]設定!$D23,[11]第３表!$C$80:$C$136,0),3),[11]設定!$H23))</f>
        <v>137.1</v>
      </c>
      <c r="H9" s="48">
        <f>IF($D9="","",IF([11]設定!$H23="",INDEX([11]第３表!$F$80:$Q$136,MATCH([11]設定!$D23,[11]第３表!$C$80:$C$136,0),4),[11]設定!$H23))</f>
        <v>8.9</v>
      </c>
      <c r="I9" s="48">
        <f>IF($D9="","",IF([11]設定!$H23="",INDEX([11]第３表!$F$80:$Q$136,MATCH([11]設定!$D23,[11]第３表!$C$80:$C$136,0),5),[11]設定!$H23))</f>
        <v>20</v>
      </c>
      <c r="J9" s="48">
        <f>IF($D9="","",IF([11]設定!$H23="",INDEX([11]第３表!$F$80:$Q$136,MATCH([11]設定!$D23,[11]第３表!$C$80:$C$136,0),6),[11]設定!$H23))</f>
        <v>161.4</v>
      </c>
      <c r="K9" s="48">
        <f>IF($D9="","",IF([11]設定!$H23="",INDEX([11]第３表!$F$80:$Q$136,MATCH([11]設定!$D23,[11]第３表!$C$80:$C$136,0),7),[11]設定!$H23))</f>
        <v>148.30000000000001</v>
      </c>
      <c r="L9" s="48">
        <f>IF($D9="","",IF([11]設定!$H23="",INDEX([11]第３表!$F$80:$Q$136,MATCH([11]設定!$D23,[11]第３表!$C$80:$C$136,0),8),[11]設定!$H23))</f>
        <v>13.1</v>
      </c>
      <c r="M9" s="48">
        <f>IF($D9="","",IF([11]設定!$H23="",INDEX([11]第３表!$F$80:$Q$136,MATCH([11]設定!$D23,[11]第３表!$C$80:$C$136,0),9),[11]設定!$H23))</f>
        <v>18.7</v>
      </c>
      <c r="N9" s="48">
        <f>IF($D9="","",IF([11]設定!$H23="",INDEX([11]第３表!$F$80:$Q$136,MATCH([11]設定!$D23,[11]第３表!$C$80:$C$136,0),10),[11]設定!$H23))</f>
        <v>131.19999999999999</v>
      </c>
      <c r="O9" s="48">
        <f>IF($D9="","",IF([11]設定!$H23="",INDEX([11]第３表!$F$80:$Q$136,MATCH([11]設定!$D23,[11]第３表!$C$80:$C$136,0),11),[11]設定!$H23))</f>
        <v>126.4</v>
      </c>
      <c r="P9" s="48">
        <f>IF($D9="","",IF([11]設定!$H23="",INDEX([11]第３表!$F$80:$Q$136,MATCH([11]設定!$D23,[11]第３表!$C$80:$C$136,0),12),[11]設定!$H23))</f>
        <v>4.8</v>
      </c>
    </row>
    <row r="10" spans="1:18" s="8" customFormat="1" ht="17.25" customHeight="1" x14ac:dyDescent="0.45">
      <c r="B10" s="49" t="str">
        <f>+[12]第５表!B10</f>
        <v>D</v>
      </c>
      <c r="C10" s="50"/>
      <c r="D10" s="51" t="str">
        <f>+[12]第５表!D10</f>
        <v>建設業</v>
      </c>
      <c r="E10" s="52">
        <f>IF($D10="","",IF([11]設定!$H24="",INDEX([11]第３表!$F$80:$Q$136,MATCH([11]設定!$D24,[11]第３表!$C$80:$C$136,0),1),[11]設定!$H24))</f>
        <v>21.6</v>
      </c>
      <c r="F10" s="52">
        <f>IF($D10="","",IF([11]設定!$H24="",INDEX([11]第３表!$F$80:$Q$136,MATCH([11]設定!$D24,[11]第３表!$C$80:$C$136,0),2),[11]設定!$H24))</f>
        <v>164.2</v>
      </c>
      <c r="G10" s="52">
        <f>IF($D10="","",IF([11]設定!$H24="",INDEX([11]第３表!$F$80:$Q$136,MATCH([11]設定!$D24,[11]第３表!$C$80:$C$136,0),3),[11]設定!$H24))</f>
        <v>158</v>
      </c>
      <c r="H10" s="53">
        <f>IF($D10="","",IF([11]設定!$H24="",INDEX([11]第３表!$F$80:$Q$136,MATCH([11]設定!$D24,[11]第３表!$C$80:$C$136,0),4),[11]設定!$H24))</f>
        <v>6.2</v>
      </c>
      <c r="I10" s="54">
        <f>IF($D10="","",IF([11]設定!$H24="",INDEX([11]第３表!$F$80:$Q$136,MATCH([11]設定!$D24,[11]第３表!$C$80:$C$136,0),5),[11]設定!$H24))</f>
        <v>21.8</v>
      </c>
      <c r="J10" s="54">
        <f>IF($D10="","",IF([11]設定!$H24="",INDEX([11]第３表!$F$80:$Q$136,MATCH([11]設定!$D24,[11]第３表!$C$80:$C$136,0),6),[11]設定!$H24))</f>
        <v>167.8</v>
      </c>
      <c r="K10" s="54">
        <f>IF($D10="","",IF([11]設定!$H24="",INDEX([11]第３表!$F$80:$Q$136,MATCH([11]設定!$D24,[11]第３表!$C$80:$C$136,0),7),[11]設定!$H24))</f>
        <v>160.9</v>
      </c>
      <c r="L10" s="55">
        <f>IF($D10="","",IF([11]設定!$H24="",INDEX([11]第３表!$F$80:$Q$136,MATCH([11]設定!$D24,[11]第３表!$C$80:$C$136,0),8),[11]設定!$H24))</f>
        <v>6.9</v>
      </c>
      <c r="M10" s="56">
        <f>IF($D10="","",IF([11]設定!$H24="",INDEX([11]第３表!$F$80:$Q$136,MATCH([11]設定!$D24,[11]第３表!$C$80:$C$136,0),9),[11]設定!$H24))</f>
        <v>20.399999999999999</v>
      </c>
      <c r="N10" s="56">
        <f>IF($D10="","",IF([11]設定!$H24="",INDEX([11]第３表!$F$80:$Q$136,MATCH([11]設定!$D24,[11]第３表!$C$80:$C$136,0),10),[11]設定!$H24))</f>
        <v>145.80000000000001</v>
      </c>
      <c r="O10" s="56">
        <f>IF($D10="","",IF([11]設定!$H24="",INDEX([11]第３表!$F$80:$Q$136,MATCH([11]設定!$D24,[11]第３表!$C$80:$C$136,0),11),[11]設定!$H24))</f>
        <v>143.1</v>
      </c>
      <c r="P10" s="57">
        <f>IF($D10="","",IF([11]設定!$H24="",INDEX([11]第３表!$F$80:$Q$136,MATCH([11]設定!$D24,[11]第３表!$C$80:$C$136,0),12),[11]設定!$H24))</f>
        <v>2.7</v>
      </c>
    </row>
    <row r="11" spans="1:18" s="8" customFormat="1" ht="17.25" customHeight="1" x14ac:dyDescent="0.45">
      <c r="B11" s="49" t="str">
        <f>+[12]第５表!B11</f>
        <v>E</v>
      </c>
      <c r="C11" s="50"/>
      <c r="D11" s="51" t="str">
        <f>+[12]第５表!D11</f>
        <v>製造業</v>
      </c>
      <c r="E11" s="52">
        <f>IF($D11="","",IF([11]設定!$H25="",INDEX([11]第３表!$F$80:$Q$136,MATCH([11]設定!$D25,[11]第３表!$C$80:$C$136,0),1),[11]設定!$H25))</f>
        <v>20</v>
      </c>
      <c r="F11" s="52">
        <f>IF($D11="","",IF([11]設定!$H25="",INDEX([11]第３表!$F$80:$Q$136,MATCH([11]設定!$D25,[11]第３表!$C$80:$C$136,0),2),[11]設定!$H25))</f>
        <v>160.19999999999999</v>
      </c>
      <c r="G11" s="52">
        <f>IF($D11="","",IF([11]設定!$H25="",INDEX([11]第３表!$F$80:$Q$136,MATCH([11]設定!$D25,[11]第３表!$C$80:$C$136,0),3),[11]設定!$H25))</f>
        <v>149.4</v>
      </c>
      <c r="H11" s="53">
        <f>IF($D11="","",IF([11]設定!$H25="",INDEX([11]第３表!$F$80:$Q$136,MATCH([11]設定!$D25,[11]第３表!$C$80:$C$136,0),4),[11]設定!$H25))</f>
        <v>10.8</v>
      </c>
      <c r="I11" s="54">
        <f>IF($D11="","",IF([11]設定!$H25="",INDEX([11]第３表!$F$80:$Q$136,MATCH([11]設定!$D25,[11]第３表!$C$80:$C$136,0),5),[11]設定!$H25))</f>
        <v>20.5</v>
      </c>
      <c r="J11" s="54">
        <f>IF($D11="","",IF([11]設定!$H25="",INDEX([11]第３表!$F$80:$Q$136,MATCH([11]設定!$D25,[11]第３表!$C$80:$C$136,0),6),[11]設定!$H25))</f>
        <v>171.2</v>
      </c>
      <c r="K11" s="54">
        <f>IF($D11="","",IF([11]設定!$H25="",INDEX([11]第３表!$F$80:$Q$136,MATCH([11]設定!$D25,[11]第３表!$C$80:$C$136,0),7),[11]設定!$H25))</f>
        <v>156.30000000000001</v>
      </c>
      <c r="L11" s="55">
        <f>IF($D11="","",IF([11]設定!$H25="",INDEX([11]第３表!$F$80:$Q$136,MATCH([11]設定!$D25,[11]第３表!$C$80:$C$136,0),8),[11]設定!$H25))</f>
        <v>14.9</v>
      </c>
      <c r="M11" s="56">
        <f>IF($D11="","",IF([11]設定!$H25="",INDEX([11]第３表!$F$80:$Q$136,MATCH([11]設定!$D25,[11]第３表!$C$80:$C$136,0),9),[11]設定!$H25))</f>
        <v>19.3</v>
      </c>
      <c r="N11" s="56">
        <f>IF($D11="","",IF([11]設定!$H25="",INDEX([11]第３表!$F$80:$Q$136,MATCH([11]設定!$D25,[11]第３表!$C$80:$C$136,0),10),[11]設定!$H25))</f>
        <v>144.80000000000001</v>
      </c>
      <c r="O11" s="56">
        <f>IF($D11="","",IF([11]設定!$H25="",INDEX([11]第３表!$F$80:$Q$136,MATCH([11]設定!$D25,[11]第３表!$C$80:$C$136,0),11),[11]設定!$H25))</f>
        <v>139.69999999999999</v>
      </c>
      <c r="P11" s="57">
        <f>IF($D11="","",IF([11]設定!$H25="",INDEX([11]第３表!$F$80:$Q$136,MATCH([11]設定!$D25,[11]第３表!$C$80:$C$136,0),12),[11]設定!$H25))</f>
        <v>5.0999999999999996</v>
      </c>
    </row>
    <row r="12" spans="1:18" s="8" customFormat="1" ht="17.25" customHeight="1" x14ac:dyDescent="0.45">
      <c r="B12" s="49" t="str">
        <f>+[12]第５表!B12</f>
        <v>F</v>
      </c>
      <c r="C12" s="50"/>
      <c r="D12" s="58" t="str">
        <f>+[12]第５表!D12</f>
        <v>電気・ガス・熱供給・水道業</v>
      </c>
      <c r="E12" s="52">
        <f>IF($D12="","",IF([11]設定!$H26="",INDEX([11]第３表!$F$80:$Q$136,MATCH([11]設定!$D26,[11]第３表!$C$80:$C$136,0),1),[11]設定!$H26))</f>
        <v>20.2</v>
      </c>
      <c r="F12" s="52">
        <f>IF($D12="","",IF([11]設定!$H26="",INDEX([11]第３表!$F$80:$Q$136,MATCH([11]設定!$D26,[11]第３表!$C$80:$C$136,0),2),[11]設定!$H26))</f>
        <v>162</v>
      </c>
      <c r="G12" s="52">
        <f>IF($D12="","",IF([11]設定!$H26="",INDEX([11]第３表!$F$80:$Q$136,MATCH([11]設定!$D26,[11]第３表!$C$80:$C$136,0),3),[11]設定!$H26))</f>
        <v>149.4</v>
      </c>
      <c r="H12" s="53">
        <f>IF($D12="","",IF([11]設定!$H26="",INDEX([11]第３表!$F$80:$Q$136,MATCH([11]設定!$D26,[11]第３表!$C$80:$C$136,0),4),[11]設定!$H26))</f>
        <v>12.6</v>
      </c>
      <c r="I12" s="54">
        <f>IF($D12="","",IF([11]設定!$H26="",INDEX([11]第３表!$F$80:$Q$136,MATCH([11]設定!$D26,[11]第３表!$C$80:$C$136,0),5),[11]設定!$H26))</f>
        <v>20.100000000000001</v>
      </c>
      <c r="J12" s="54">
        <f>IF($D12="","",IF([11]設定!$H26="",INDEX([11]第３表!$F$80:$Q$136,MATCH([11]設定!$D26,[11]第３表!$C$80:$C$136,0),6),[11]設定!$H26))</f>
        <v>164.3</v>
      </c>
      <c r="K12" s="54">
        <f>IF($D12="","",IF([11]設定!$H26="",INDEX([11]第３表!$F$80:$Q$136,MATCH([11]設定!$D26,[11]第３表!$C$80:$C$136,0),7),[11]設定!$H26))</f>
        <v>150.6</v>
      </c>
      <c r="L12" s="55">
        <f>IF($D12="","",IF([11]設定!$H26="",INDEX([11]第３表!$F$80:$Q$136,MATCH([11]設定!$D26,[11]第３表!$C$80:$C$136,0),8),[11]設定!$H26))</f>
        <v>13.7</v>
      </c>
      <c r="M12" s="56">
        <f>IF($D12="","",IF([11]設定!$H26="",INDEX([11]第３表!$F$80:$Q$136,MATCH([11]設定!$D26,[11]第３表!$C$80:$C$136,0),9),[11]設定!$H26))</f>
        <v>20.5</v>
      </c>
      <c r="N12" s="56">
        <f>IF($D12="","",IF([11]設定!$H26="",INDEX([11]第３表!$F$80:$Q$136,MATCH([11]設定!$D26,[11]第３表!$C$80:$C$136,0),10),[11]設定!$H26))</f>
        <v>145.80000000000001</v>
      </c>
      <c r="O12" s="56">
        <f>IF($D12="","",IF([11]設定!$H26="",INDEX([11]第３表!$F$80:$Q$136,MATCH([11]設定!$D26,[11]第３表!$C$80:$C$136,0),11),[11]設定!$H26))</f>
        <v>140.9</v>
      </c>
      <c r="P12" s="57">
        <f>IF($D12="","",IF([11]設定!$H26="",INDEX([11]第３表!$F$80:$Q$136,MATCH([11]設定!$D26,[11]第３表!$C$80:$C$136,0),12),[11]設定!$H26))</f>
        <v>4.9000000000000004</v>
      </c>
    </row>
    <row r="13" spans="1:18" s="8" customFormat="1" ht="17.25" customHeight="1" x14ac:dyDescent="0.45">
      <c r="B13" s="49" t="str">
        <f>+[12]第５表!B13</f>
        <v>G</v>
      </c>
      <c r="C13" s="50"/>
      <c r="D13" s="51" t="str">
        <f>+[12]第５表!D13</f>
        <v>情報通信業</v>
      </c>
      <c r="E13" s="52">
        <f>IF($D13="","",IF([11]設定!$H27="",INDEX([11]第３表!$F$80:$Q$136,MATCH([11]設定!$D27,[11]第３表!$C$80:$C$136,0),1),[11]設定!$H27))</f>
        <v>20.3</v>
      </c>
      <c r="F13" s="52">
        <f>IF($D13="","",IF([11]設定!$H27="",INDEX([11]第３表!$F$80:$Q$136,MATCH([11]設定!$D27,[11]第３表!$C$80:$C$136,0),2),[11]設定!$H27))</f>
        <v>165.7</v>
      </c>
      <c r="G13" s="52">
        <f>IF($D13="","",IF([11]設定!$H27="",INDEX([11]第３表!$F$80:$Q$136,MATCH([11]設定!$D27,[11]第３表!$C$80:$C$136,0),3),[11]設定!$H27))</f>
        <v>155.5</v>
      </c>
      <c r="H13" s="53">
        <f>IF($D13="","",IF([11]設定!$H27="",INDEX([11]第３表!$F$80:$Q$136,MATCH([11]設定!$D27,[11]第３表!$C$80:$C$136,0),4),[11]設定!$H27))</f>
        <v>10.199999999999999</v>
      </c>
      <c r="I13" s="54">
        <f>IF($D13="","",IF([11]設定!$H27="",INDEX([11]第３表!$F$80:$Q$136,MATCH([11]設定!$D27,[11]第３表!$C$80:$C$136,0),5),[11]設定!$H27))</f>
        <v>20.399999999999999</v>
      </c>
      <c r="J13" s="54">
        <f>IF($D13="","",IF([11]設定!$H27="",INDEX([11]第３表!$F$80:$Q$136,MATCH([11]設定!$D27,[11]第３表!$C$80:$C$136,0),6),[11]設定!$H27))</f>
        <v>168.4</v>
      </c>
      <c r="K13" s="54">
        <f>IF($D13="","",IF([11]設定!$H27="",INDEX([11]第３表!$F$80:$Q$136,MATCH([11]設定!$D27,[11]第３表!$C$80:$C$136,0),7),[11]設定!$H27))</f>
        <v>157.6</v>
      </c>
      <c r="L13" s="55">
        <f>IF($D13="","",IF([11]設定!$H27="",INDEX([11]第３表!$F$80:$Q$136,MATCH([11]設定!$D27,[11]第３表!$C$80:$C$136,0),8),[11]設定!$H27))</f>
        <v>10.8</v>
      </c>
      <c r="M13" s="56">
        <f>IF($D13="","",IF([11]設定!$H27="",INDEX([11]第３表!$F$80:$Q$136,MATCH([11]設定!$D27,[11]第３表!$C$80:$C$136,0),9),[11]設定!$H27))</f>
        <v>20</v>
      </c>
      <c r="N13" s="56">
        <f>IF($D13="","",IF([11]設定!$H27="",INDEX([11]第３表!$F$80:$Q$136,MATCH([11]設定!$D27,[11]第３表!$C$80:$C$136,0),10),[11]設定!$H27))</f>
        <v>159.4</v>
      </c>
      <c r="O13" s="56">
        <f>IF($D13="","",IF([11]設定!$H27="",INDEX([11]第３表!$F$80:$Q$136,MATCH([11]設定!$D27,[11]第３表!$C$80:$C$136,0),11),[11]設定!$H27))</f>
        <v>150.69999999999999</v>
      </c>
      <c r="P13" s="57">
        <f>IF($D13="","",IF([11]設定!$H27="",INDEX([11]第３表!$F$80:$Q$136,MATCH([11]設定!$D27,[11]第３表!$C$80:$C$136,0),12),[11]設定!$H27))</f>
        <v>8.6999999999999993</v>
      </c>
    </row>
    <row r="14" spans="1:18" s="8" customFormat="1" ht="17.25" customHeight="1" x14ac:dyDescent="0.45">
      <c r="B14" s="49" t="str">
        <f>+[12]第５表!B14</f>
        <v>H</v>
      </c>
      <c r="C14" s="50"/>
      <c r="D14" s="51" t="str">
        <f>+[12]第５表!D14</f>
        <v>運輸業，郵便業</v>
      </c>
      <c r="E14" s="52">
        <f>IF($D14="","",IF([11]設定!$H28="",INDEX([11]第３表!$F$80:$Q$136,MATCH([11]設定!$D28,[11]第３表!$C$80:$C$136,0),1),[11]設定!$H28))</f>
        <v>21</v>
      </c>
      <c r="F14" s="52">
        <f>IF($D14="","",IF([11]設定!$H28="",INDEX([11]第３表!$F$80:$Q$136,MATCH([11]設定!$D28,[11]第３表!$C$80:$C$136,0),2),[11]設定!$H28))</f>
        <v>182.1</v>
      </c>
      <c r="G14" s="52">
        <f>IF($D14="","",IF([11]設定!$H28="",INDEX([11]第３表!$F$80:$Q$136,MATCH([11]設定!$D28,[11]第３表!$C$80:$C$136,0),3),[11]設定!$H28))</f>
        <v>153.5</v>
      </c>
      <c r="H14" s="53">
        <f>IF($D14="","",IF([11]設定!$H28="",INDEX([11]第３表!$F$80:$Q$136,MATCH([11]設定!$D28,[11]第３表!$C$80:$C$136,0),4),[11]設定!$H28))</f>
        <v>28.6</v>
      </c>
      <c r="I14" s="54">
        <f>IF($D14="","",IF([11]設定!$H28="",INDEX([11]第３表!$F$80:$Q$136,MATCH([11]設定!$D28,[11]第３表!$C$80:$C$136,0),5),[11]設定!$H28))</f>
        <v>21</v>
      </c>
      <c r="J14" s="54">
        <f>IF($D14="","",IF([11]設定!$H28="",INDEX([11]第３表!$F$80:$Q$136,MATCH([11]設定!$D28,[11]第３表!$C$80:$C$136,0),6),[11]設定!$H28))</f>
        <v>187</v>
      </c>
      <c r="K14" s="54">
        <f>IF($D14="","",IF([11]設定!$H28="",INDEX([11]第３表!$F$80:$Q$136,MATCH([11]設定!$D28,[11]第３表!$C$80:$C$136,0),7),[11]設定!$H28))</f>
        <v>154.80000000000001</v>
      </c>
      <c r="L14" s="55">
        <f>IF($D14="","",IF([11]設定!$H28="",INDEX([11]第３表!$F$80:$Q$136,MATCH([11]設定!$D28,[11]第３表!$C$80:$C$136,0),8),[11]設定!$H28))</f>
        <v>32.200000000000003</v>
      </c>
      <c r="M14" s="56">
        <f>IF($D14="","",IF([11]設定!$H28="",INDEX([11]第３表!$F$80:$Q$136,MATCH([11]設定!$D28,[11]第３表!$C$80:$C$136,0),9),[11]設定!$H28))</f>
        <v>20.8</v>
      </c>
      <c r="N14" s="56">
        <f>IF($D14="","",IF([11]設定!$H28="",INDEX([11]第３表!$F$80:$Q$136,MATCH([11]設定!$D28,[11]第３表!$C$80:$C$136,0),10),[11]設定!$H28))</f>
        <v>150.30000000000001</v>
      </c>
      <c r="O14" s="56">
        <f>IF($D14="","",IF([11]設定!$H28="",INDEX([11]第３表!$F$80:$Q$136,MATCH([11]設定!$D28,[11]第３表!$C$80:$C$136,0),11),[11]設定!$H28))</f>
        <v>145.19999999999999</v>
      </c>
      <c r="P14" s="57">
        <f>IF($D14="","",IF([11]設定!$H28="",INDEX([11]第３表!$F$80:$Q$136,MATCH([11]設定!$D28,[11]第３表!$C$80:$C$136,0),12),[11]設定!$H28))</f>
        <v>5.0999999999999996</v>
      </c>
    </row>
    <row r="15" spans="1:18" s="8" customFormat="1" ht="17.25" customHeight="1" x14ac:dyDescent="0.45">
      <c r="B15" s="49" t="str">
        <f>+[12]第５表!B15</f>
        <v>I</v>
      </c>
      <c r="C15" s="50"/>
      <c r="D15" s="51" t="str">
        <f>+[12]第５表!D15</f>
        <v>卸売業，小売業</v>
      </c>
      <c r="E15" s="52">
        <f>IF($D15="","",IF([11]設定!$H29="",INDEX([11]第３表!$F$80:$Q$136,MATCH([11]設定!$D29,[11]第３表!$C$80:$C$136,0),1),[11]設定!$H29))</f>
        <v>18.7</v>
      </c>
      <c r="F15" s="52">
        <f>IF($D15="","",IF([11]設定!$H29="",INDEX([11]第３表!$F$80:$Q$136,MATCH([11]設定!$D29,[11]第３表!$C$80:$C$136,0),2),[11]設定!$H29))</f>
        <v>137.6</v>
      </c>
      <c r="G15" s="52">
        <f>IF($D15="","",IF([11]設定!$H29="",INDEX([11]第３表!$F$80:$Q$136,MATCH([11]設定!$D29,[11]第３表!$C$80:$C$136,0),3),[11]設定!$H29))</f>
        <v>129.9</v>
      </c>
      <c r="H15" s="53">
        <f>IF($D15="","",IF([11]設定!$H29="",INDEX([11]第３表!$F$80:$Q$136,MATCH([11]設定!$D29,[11]第３表!$C$80:$C$136,0),4),[11]設定!$H29))</f>
        <v>7.7</v>
      </c>
      <c r="I15" s="54">
        <f>IF($D15="","",IF([11]設定!$H29="",INDEX([11]第３表!$F$80:$Q$136,MATCH([11]設定!$D29,[11]第３表!$C$80:$C$136,0),5),[11]設定!$H29))</f>
        <v>19.2</v>
      </c>
      <c r="J15" s="54">
        <f>IF($D15="","",IF([11]設定!$H29="",INDEX([11]第３表!$F$80:$Q$136,MATCH([11]設定!$D29,[11]第３表!$C$80:$C$136,0),6),[11]設定!$H29))</f>
        <v>154.30000000000001</v>
      </c>
      <c r="K15" s="54">
        <f>IF($D15="","",IF([11]設定!$H29="",INDEX([11]第３表!$F$80:$Q$136,MATCH([11]設定!$D29,[11]第３表!$C$80:$C$136,0),7),[11]設定!$H29))</f>
        <v>143.30000000000001</v>
      </c>
      <c r="L15" s="55">
        <f>IF($D15="","",IF([11]設定!$H29="",INDEX([11]第３表!$F$80:$Q$136,MATCH([11]設定!$D29,[11]第３表!$C$80:$C$136,0),8),[11]設定!$H29))</f>
        <v>11</v>
      </c>
      <c r="M15" s="56">
        <f>IF($D15="","",IF([11]設定!$H29="",INDEX([11]第３表!$F$80:$Q$136,MATCH([11]設定!$D29,[11]第３表!$C$80:$C$136,0),9),[11]設定!$H29))</f>
        <v>18.100000000000001</v>
      </c>
      <c r="N15" s="56">
        <f>IF($D15="","",IF([11]設定!$H29="",INDEX([11]第３表!$F$80:$Q$136,MATCH([11]設定!$D29,[11]第３表!$C$80:$C$136,0),10),[11]設定!$H29))</f>
        <v>117.9</v>
      </c>
      <c r="O15" s="56">
        <f>IF($D15="","",IF([11]設定!$H29="",INDEX([11]第３表!$F$80:$Q$136,MATCH([11]設定!$D29,[11]第３表!$C$80:$C$136,0),11),[11]設定!$H29))</f>
        <v>114</v>
      </c>
      <c r="P15" s="57">
        <f>IF($D15="","",IF([11]設定!$H29="",INDEX([11]第３表!$F$80:$Q$136,MATCH([11]設定!$D29,[11]第３表!$C$80:$C$136,0),12),[11]設定!$H29))</f>
        <v>3.9</v>
      </c>
    </row>
    <row r="16" spans="1:18" s="8" customFormat="1" ht="17.25" customHeight="1" x14ac:dyDescent="0.45">
      <c r="B16" s="49" t="str">
        <f>+[12]第５表!B16</f>
        <v>J</v>
      </c>
      <c r="C16" s="50"/>
      <c r="D16" s="51" t="str">
        <f>+[12]第５表!D16</f>
        <v>金融業，保険業</v>
      </c>
      <c r="E16" s="52">
        <f>IF($D16="","",IF([11]設定!$H30="",INDEX([11]第３表!$F$80:$Q$136,MATCH([11]設定!$D30,[11]第３表!$C$80:$C$136,0),1),[11]設定!$H30))</f>
        <v>20</v>
      </c>
      <c r="F16" s="52">
        <f>IF($D16="","",IF([11]設定!$H30="",INDEX([11]第３表!$F$80:$Q$136,MATCH([11]設定!$D30,[11]第３表!$C$80:$C$136,0),2),[11]設定!$H30))</f>
        <v>149.5</v>
      </c>
      <c r="G16" s="52">
        <f>IF($D16="","",IF([11]設定!$H30="",INDEX([11]第３表!$F$80:$Q$136,MATCH([11]設定!$D30,[11]第３表!$C$80:$C$136,0),3),[11]設定!$H30))</f>
        <v>144.1</v>
      </c>
      <c r="H16" s="53">
        <f>IF($D16="","",IF([11]設定!$H30="",INDEX([11]第３表!$F$80:$Q$136,MATCH([11]設定!$D30,[11]第３表!$C$80:$C$136,0),4),[11]設定!$H30))</f>
        <v>5.4</v>
      </c>
      <c r="I16" s="54">
        <f>IF($D16="","",IF([11]設定!$H30="",INDEX([11]第３表!$F$80:$Q$136,MATCH([11]設定!$D30,[11]第３表!$C$80:$C$136,0),5),[11]設定!$H30))</f>
        <v>20.8</v>
      </c>
      <c r="J16" s="54">
        <f>IF($D16="","",IF([11]設定!$H30="",INDEX([11]第３表!$F$80:$Q$136,MATCH([11]設定!$D30,[11]第３表!$C$80:$C$136,0),6),[11]設定!$H30))</f>
        <v>164.8</v>
      </c>
      <c r="K16" s="54">
        <f>IF($D16="","",IF([11]設定!$H30="",INDEX([11]第３表!$F$80:$Q$136,MATCH([11]設定!$D30,[11]第３表!$C$80:$C$136,0),7),[11]設定!$H30))</f>
        <v>156.80000000000001</v>
      </c>
      <c r="L16" s="55">
        <f>IF($D16="","",IF([11]設定!$H30="",INDEX([11]第３表!$F$80:$Q$136,MATCH([11]設定!$D30,[11]第３表!$C$80:$C$136,0),8),[11]設定!$H30))</f>
        <v>8</v>
      </c>
      <c r="M16" s="56">
        <f>IF($D16="","",IF([11]設定!$H30="",INDEX([11]第３表!$F$80:$Q$136,MATCH([11]設定!$D30,[11]第３表!$C$80:$C$136,0),9),[11]設定!$H30))</f>
        <v>19.5</v>
      </c>
      <c r="N16" s="56">
        <f>IF($D16="","",IF([11]設定!$H30="",INDEX([11]第３表!$F$80:$Q$136,MATCH([11]設定!$D30,[11]第３表!$C$80:$C$136,0),10),[11]設定!$H30))</f>
        <v>138.9</v>
      </c>
      <c r="O16" s="56">
        <f>IF($D16="","",IF([11]設定!$H30="",INDEX([11]第３表!$F$80:$Q$136,MATCH([11]設定!$D30,[11]第３表!$C$80:$C$136,0),11),[11]設定!$H30))</f>
        <v>135.30000000000001</v>
      </c>
      <c r="P16" s="57">
        <f>IF($D16="","",IF([11]設定!$H30="",INDEX([11]第３表!$F$80:$Q$136,MATCH([11]設定!$D30,[11]第３表!$C$80:$C$136,0),12),[11]設定!$H30))</f>
        <v>3.6</v>
      </c>
    </row>
    <row r="17" spans="2:16" s="8" customFormat="1" ht="17.25" customHeight="1" x14ac:dyDescent="0.45">
      <c r="B17" s="49" t="str">
        <f>+[12]第５表!B17</f>
        <v>K</v>
      </c>
      <c r="C17" s="50"/>
      <c r="D17" s="51" t="str">
        <f>+[12]第５表!D17</f>
        <v>不動産業，物品賃貸業</v>
      </c>
      <c r="E17" s="52">
        <f>IF($D17="","",IF([11]設定!$H31="",INDEX([11]第３表!$F$80:$Q$136,MATCH([11]設定!$D31,[11]第３表!$C$80:$C$136,0),1),[11]設定!$H31))</f>
        <v>17</v>
      </c>
      <c r="F17" s="52">
        <f>IF($D17="","",IF([11]設定!$H31="",INDEX([11]第３表!$F$80:$Q$136,MATCH([11]設定!$D31,[11]第３表!$C$80:$C$136,0),2),[11]設定!$H31))</f>
        <v>112.5</v>
      </c>
      <c r="G17" s="52">
        <f>IF($D17="","",IF([11]設定!$H31="",INDEX([11]第３表!$F$80:$Q$136,MATCH([11]設定!$D31,[11]第３表!$C$80:$C$136,0),3),[11]設定!$H31))</f>
        <v>109.4</v>
      </c>
      <c r="H17" s="52">
        <f>IF($D17="","",IF([11]設定!$H31="",INDEX([11]第３表!$F$80:$Q$136,MATCH([11]設定!$D31,[11]第３表!$C$80:$C$136,0),4),[11]設定!$H31))</f>
        <v>3.1</v>
      </c>
      <c r="I17" s="54">
        <f>IF($D17="","",IF([11]設定!$H31="",INDEX([11]第３表!$F$80:$Q$136,MATCH([11]設定!$D31,[11]第３表!$C$80:$C$136,0),5),[11]設定!$H31))</f>
        <v>19.600000000000001</v>
      </c>
      <c r="J17" s="54">
        <f>IF($D17="","",IF([11]設定!$H31="",INDEX([11]第３表!$F$80:$Q$136,MATCH([11]設定!$D31,[11]第３表!$C$80:$C$136,0),6),[11]設定!$H31))</f>
        <v>151.1</v>
      </c>
      <c r="K17" s="54">
        <f>IF($D17="","",IF([11]設定!$H31="",INDEX([11]第３表!$F$80:$Q$136,MATCH([11]設定!$D31,[11]第３表!$C$80:$C$136,0),7),[11]設定!$H31))</f>
        <v>144.69999999999999</v>
      </c>
      <c r="L17" s="55">
        <f>IF($D17="","",IF([11]設定!$H31="",INDEX([11]第３表!$F$80:$Q$136,MATCH([11]設定!$D31,[11]第３表!$C$80:$C$136,0),8),[11]設定!$H31))</f>
        <v>6.4</v>
      </c>
      <c r="M17" s="56">
        <f>IF($D17="","",IF([11]設定!$H31="",INDEX([11]第３表!$F$80:$Q$136,MATCH([11]設定!$D31,[11]第３表!$C$80:$C$136,0),9),[11]設定!$H31))</f>
        <v>15.2</v>
      </c>
      <c r="N17" s="56">
        <f>IF($D17="","",IF([11]設定!$H31="",INDEX([11]第３表!$F$80:$Q$136,MATCH([11]設定!$D31,[11]第３表!$C$80:$C$136,0),10),[11]設定!$H31))</f>
        <v>84.9</v>
      </c>
      <c r="O17" s="56">
        <f>IF($D17="","",IF([11]設定!$H31="",INDEX([11]第３表!$F$80:$Q$136,MATCH([11]設定!$D31,[11]第３表!$C$80:$C$136,0),11),[11]設定!$H31))</f>
        <v>84.2</v>
      </c>
      <c r="P17" s="57">
        <f>IF($D17="","",IF([11]設定!$H31="",INDEX([11]第３表!$F$80:$Q$136,MATCH([11]設定!$D31,[11]第３表!$C$80:$C$136,0),12),[11]設定!$H31))</f>
        <v>0.7</v>
      </c>
    </row>
    <row r="18" spans="2:16" s="8" customFormat="1" ht="17.25" customHeight="1" x14ac:dyDescent="0.45">
      <c r="B18" s="49" t="str">
        <f>+[12]第５表!B18</f>
        <v>L</v>
      </c>
      <c r="C18" s="50"/>
      <c r="D18" s="59" t="str">
        <f>+[12]第５表!D18</f>
        <v>学術研究，専門・技術サービス業</v>
      </c>
      <c r="E18" s="52">
        <f>IF($D18="","",IF([11]設定!$H32="",INDEX([11]第３表!$F$80:$Q$136,MATCH([11]設定!$D32,[11]第３表!$C$80:$C$136,0),1),[11]設定!$H32))</f>
        <v>19.5</v>
      </c>
      <c r="F18" s="52">
        <f>IF($D18="","",IF([11]設定!$H32="",INDEX([11]第３表!$F$80:$Q$136,MATCH([11]設定!$D32,[11]第３表!$C$80:$C$136,0),2),[11]設定!$H32))</f>
        <v>166.6</v>
      </c>
      <c r="G18" s="52">
        <f>IF($D18="","",IF([11]設定!$H32="",INDEX([11]第３表!$F$80:$Q$136,MATCH([11]設定!$D32,[11]第３表!$C$80:$C$136,0),3),[11]設定!$H32))</f>
        <v>158.6</v>
      </c>
      <c r="H18" s="53">
        <f>IF($D18="","",IF([11]設定!$H32="",INDEX([11]第３表!$F$80:$Q$136,MATCH([11]設定!$D32,[11]第３表!$C$80:$C$136,0),4),[11]設定!$H32))</f>
        <v>8</v>
      </c>
      <c r="I18" s="54">
        <f>IF($D18="","",IF([11]設定!$H32="",INDEX([11]第３表!$F$80:$Q$136,MATCH([11]設定!$D32,[11]第３表!$C$80:$C$136,0),5),[11]設定!$H32))</f>
        <v>19</v>
      </c>
      <c r="J18" s="54">
        <f>IF($D18="","",IF([11]設定!$H32="",INDEX([11]第３表!$F$80:$Q$136,MATCH([11]設定!$D32,[11]第３表!$C$80:$C$136,0),6),[11]設定!$H32))</f>
        <v>173.2</v>
      </c>
      <c r="K18" s="54">
        <f>IF($D18="","",IF([11]設定!$H32="",INDEX([11]第３表!$F$80:$Q$136,MATCH([11]設定!$D32,[11]第３表!$C$80:$C$136,0),7),[11]設定!$H32))</f>
        <v>165.4</v>
      </c>
      <c r="L18" s="55">
        <f>IF($D18="","",IF([11]設定!$H32="",INDEX([11]第３表!$F$80:$Q$136,MATCH([11]設定!$D32,[11]第３表!$C$80:$C$136,0),8),[11]設定!$H32))</f>
        <v>7.8</v>
      </c>
      <c r="M18" s="56">
        <f>IF($D18="","",IF([11]設定!$H32="",INDEX([11]第３表!$F$80:$Q$136,MATCH([11]設定!$D32,[11]第３表!$C$80:$C$136,0),9),[11]設定!$H32))</f>
        <v>20.6</v>
      </c>
      <c r="N18" s="56">
        <f>IF($D18="","",IF([11]設定!$H32="",INDEX([11]第３表!$F$80:$Q$136,MATCH([11]設定!$D32,[11]第３表!$C$80:$C$136,0),10),[11]設定!$H32))</f>
        <v>153.69999999999999</v>
      </c>
      <c r="O18" s="56">
        <f>IF($D18="","",IF([11]設定!$H32="",INDEX([11]第３表!$F$80:$Q$136,MATCH([11]設定!$D32,[11]第３表!$C$80:$C$136,0),11),[11]設定!$H32))</f>
        <v>145.4</v>
      </c>
      <c r="P18" s="57">
        <f>IF($D18="","",IF([11]設定!$H32="",INDEX([11]第３表!$F$80:$Q$136,MATCH([11]設定!$D32,[11]第３表!$C$80:$C$136,0),12),[11]設定!$H32))</f>
        <v>8.3000000000000007</v>
      </c>
    </row>
    <row r="19" spans="2:16" s="8" customFormat="1" ht="17.25" customHeight="1" x14ac:dyDescent="0.45">
      <c r="B19" s="49" t="str">
        <f>+[12]第５表!B19</f>
        <v>M</v>
      </c>
      <c r="C19" s="50"/>
      <c r="D19" s="60" t="str">
        <f>+[12]第５表!D19</f>
        <v>宿泊業，飲食サービス業</v>
      </c>
      <c r="E19" s="52">
        <f>IF($D19="","",IF([11]設定!$H33="",INDEX([11]第３表!$F$80:$Q$136,MATCH([11]設定!$D33,[11]第３表!$C$80:$C$136,0),1),[11]設定!$H33))</f>
        <v>15.2</v>
      </c>
      <c r="F19" s="52">
        <f>IF($D19="","",IF([11]設定!$H33="",INDEX([11]第３表!$F$80:$Q$136,MATCH([11]設定!$D33,[11]第３表!$C$80:$C$136,0),2),[11]設定!$H33))</f>
        <v>85.8</v>
      </c>
      <c r="G19" s="52">
        <f>IF($D19="","",IF([11]設定!$H33="",INDEX([11]第３表!$F$80:$Q$136,MATCH([11]設定!$D33,[11]第３表!$C$80:$C$136,0),3),[11]設定!$H33))</f>
        <v>81.8</v>
      </c>
      <c r="H19" s="53">
        <f>IF($D19="","",IF([11]設定!$H33="",INDEX([11]第３表!$F$80:$Q$136,MATCH([11]設定!$D33,[11]第３表!$C$80:$C$136,0),4),[11]設定!$H33))</f>
        <v>4</v>
      </c>
      <c r="I19" s="54">
        <f>IF($D19="","",IF([11]設定!$H33="",INDEX([11]第３表!$F$80:$Q$136,MATCH([11]設定!$D33,[11]第３表!$C$80:$C$136,0),5),[11]設定!$H33))</f>
        <v>16.7</v>
      </c>
      <c r="J19" s="54">
        <f>IF($D19="","",IF([11]設定!$H33="",INDEX([11]第３表!$F$80:$Q$136,MATCH([11]設定!$D33,[11]第３表!$C$80:$C$136,0),6),[11]設定!$H33))</f>
        <v>101.7</v>
      </c>
      <c r="K19" s="54">
        <f>IF($D19="","",IF([11]設定!$H33="",INDEX([11]第３表!$F$80:$Q$136,MATCH([11]設定!$D33,[11]第３表!$C$80:$C$136,0),7),[11]設定!$H33))</f>
        <v>93.3</v>
      </c>
      <c r="L19" s="55">
        <f>IF($D19="","",IF([11]設定!$H33="",INDEX([11]第３表!$F$80:$Q$136,MATCH([11]設定!$D33,[11]第３表!$C$80:$C$136,0),8),[11]設定!$H33))</f>
        <v>8.4</v>
      </c>
      <c r="M19" s="56">
        <f>IF($D19="","",IF([11]設定!$H33="",INDEX([11]第３表!$F$80:$Q$136,MATCH([11]設定!$D33,[11]第３表!$C$80:$C$136,0),9),[11]設定!$H33))</f>
        <v>14.4</v>
      </c>
      <c r="N19" s="56">
        <f>IF($D19="","",IF([11]設定!$H33="",INDEX([11]第３表!$F$80:$Q$136,MATCH([11]設定!$D33,[11]第３表!$C$80:$C$136,0),10),[11]設定!$H33))</f>
        <v>76.8</v>
      </c>
      <c r="O19" s="56">
        <f>IF($D19="","",IF([11]設定!$H33="",INDEX([11]第３表!$F$80:$Q$136,MATCH([11]設定!$D33,[11]第３表!$C$80:$C$136,0),11),[11]設定!$H33))</f>
        <v>75.3</v>
      </c>
      <c r="P19" s="57">
        <f>IF($D19="","",IF([11]設定!$H33="",INDEX([11]第３表!$F$80:$Q$136,MATCH([11]設定!$D33,[11]第３表!$C$80:$C$136,0),12),[11]設定!$H33))</f>
        <v>1.5</v>
      </c>
    </row>
    <row r="20" spans="2:16" s="8" customFormat="1" ht="17.25" customHeight="1" x14ac:dyDescent="0.45">
      <c r="B20" s="49" t="str">
        <f>+[12]第５表!B20</f>
        <v>N</v>
      </c>
      <c r="C20" s="50"/>
      <c r="D20" s="61" t="str">
        <f>+[12]第５表!D20</f>
        <v>生活関連サービス業，娯楽業</v>
      </c>
      <c r="E20" s="52">
        <f>IF($D20="","",IF([11]設定!$H34="",INDEX([11]第３表!$F$80:$Q$136,MATCH([11]設定!$D34,[11]第３表!$C$80:$C$136,0),1),[11]設定!$H34))</f>
        <v>18.8</v>
      </c>
      <c r="F20" s="52">
        <f>IF($D20="","",IF([11]設定!$H34="",INDEX([11]第３表!$F$80:$Q$136,MATCH([11]設定!$D34,[11]第３表!$C$80:$C$136,0),2),[11]設定!$H34))</f>
        <v>138.19999999999999</v>
      </c>
      <c r="G20" s="52">
        <f>IF($D20="","",IF([11]設定!$H34="",INDEX([11]第３表!$F$80:$Q$136,MATCH([11]設定!$D34,[11]第３表!$C$80:$C$136,0),3),[11]設定!$H34))</f>
        <v>132.9</v>
      </c>
      <c r="H20" s="53">
        <f>IF($D20="","",IF([11]設定!$H34="",INDEX([11]第３表!$F$80:$Q$136,MATCH([11]設定!$D34,[11]第３表!$C$80:$C$136,0),4),[11]設定!$H34))</f>
        <v>5.3</v>
      </c>
      <c r="I20" s="54">
        <f>IF($D20="","",IF([11]設定!$H34="",INDEX([11]第３表!$F$80:$Q$136,MATCH([11]設定!$D34,[11]第３表!$C$80:$C$136,0),5),[11]設定!$H34))</f>
        <v>19.3</v>
      </c>
      <c r="J20" s="54">
        <f>IF($D20="","",IF([11]設定!$H34="",INDEX([11]第３表!$F$80:$Q$136,MATCH([11]設定!$D34,[11]第３表!$C$80:$C$136,0),6),[11]設定!$H34))</f>
        <v>156</v>
      </c>
      <c r="K20" s="54">
        <f>IF($D20="","",IF([11]設定!$H34="",INDEX([11]第３表!$F$80:$Q$136,MATCH([11]設定!$D34,[11]第３表!$C$80:$C$136,0),7),[11]設定!$H34))</f>
        <v>147.9</v>
      </c>
      <c r="L20" s="55">
        <f>IF($D20="","",IF([11]設定!$H34="",INDEX([11]第３表!$F$80:$Q$136,MATCH([11]設定!$D34,[11]第３表!$C$80:$C$136,0),8),[11]設定!$H34))</f>
        <v>8.1</v>
      </c>
      <c r="M20" s="56">
        <f>IF($D20="","",IF([11]設定!$H34="",INDEX([11]第３表!$F$80:$Q$136,MATCH([11]設定!$D34,[11]第３表!$C$80:$C$136,0),9),[11]設定!$H34))</f>
        <v>18.3</v>
      </c>
      <c r="N20" s="56">
        <f>IF($D20="","",IF([11]設定!$H34="",INDEX([11]第３表!$F$80:$Q$136,MATCH([11]設定!$D34,[11]第３表!$C$80:$C$136,0),10),[11]設定!$H34))</f>
        <v>122.5</v>
      </c>
      <c r="O20" s="56">
        <f>IF($D20="","",IF([11]設定!$H34="",INDEX([11]第３表!$F$80:$Q$136,MATCH([11]設定!$D34,[11]第３表!$C$80:$C$136,0),11),[11]設定!$H34))</f>
        <v>119.7</v>
      </c>
      <c r="P20" s="57">
        <f>IF($D20="","",IF([11]設定!$H34="",INDEX([11]第３表!$F$80:$Q$136,MATCH([11]設定!$D34,[11]第３表!$C$80:$C$136,0),12),[11]設定!$H34))</f>
        <v>2.8</v>
      </c>
    </row>
    <row r="21" spans="2:16" s="8" customFormat="1" ht="17.25" customHeight="1" x14ac:dyDescent="0.45">
      <c r="B21" s="49" t="str">
        <f>+[12]第５表!B21</f>
        <v>O</v>
      </c>
      <c r="C21" s="50"/>
      <c r="D21" s="51" t="str">
        <f>+[12]第５表!D21</f>
        <v>教育，学習支援業</v>
      </c>
      <c r="E21" s="52">
        <f>IF($D21="","",IF([11]設定!$H35="",INDEX([11]第３表!$F$80:$Q$136,MATCH([11]設定!$D35,[11]第３表!$C$80:$C$136,0),1),[11]設定!$H35))</f>
        <v>20.2</v>
      </c>
      <c r="F21" s="52">
        <f>IF($D21="","",IF([11]設定!$H35="",INDEX([11]第３表!$F$80:$Q$136,MATCH([11]設定!$D35,[11]第３表!$C$80:$C$136,0),2),[11]設定!$H35))</f>
        <v>167</v>
      </c>
      <c r="G21" s="52">
        <f>IF($D21="","",IF([11]設定!$H35="",INDEX([11]第３表!$F$80:$Q$136,MATCH([11]設定!$D35,[11]第３表!$C$80:$C$136,0),3),[11]設定!$H35))</f>
        <v>145.4</v>
      </c>
      <c r="H21" s="53">
        <f>IF($D21="","",IF([11]設定!$H35="",INDEX([11]第３表!$F$80:$Q$136,MATCH([11]設定!$D35,[11]第３表!$C$80:$C$136,0),4),[11]設定!$H35))</f>
        <v>21.6</v>
      </c>
      <c r="I21" s="54">
        <f>IF($D21="","",IF([11]設定!$H35="",INDEX([11]第３表!$F$80:$Q$136,MATCH([11]設定!$D35,[11]第３表!$C$80:$C$136,0),5),[11]設定!$H35))</f>
        <v>20.399999999999999</v>
      </c>
      <c r="J21" s="54">
        <f>IF($D21="","",IF([11]設定!$H35="",INDEX([11]第３表!$F$80:$Q$136,MATCH([11]設定!$D35,[11]第３表!$C$80:$C$136,0),6),[11]設定!$H35))</f>
        <v>177.4</v>
      </c>
      <c r="K21" s="54">
        <f>IF($D21="","",IF([11]設定!$H35="",INDEX([11]第３表!$F$80:$Q$136,MATCH([11]設定!$D35,[11]第３表!$C$80:$C$136,0),7),[11]設定!$H35))</f>
        <v>150.30000000000001</v>
      </c>
      <c r="L21" s="55">
        <f>IF($D21="","",IF([11]設定!$H35="",INDEX([11]第３表!$F$80:$Q$136,MATCH([11]設定!$D35,[11]第３表!$C$80:$C$136,0),8),[11]設定!$H35))</f>
        <v>27.1</v>
      </c>
      <c r="M21" s="56">
        <f>IF($D21="","",IF([11]設定!$H35="",INDEX([11]第３表!$F$80:$Q$136,MATCH([11]設定!$D35,[11]第３表!$C$80:$C$136,0),9),[11]設定!$H35))</f>
        <v>20</v>
      </c>
      <c r="N21" s="56">
        <f>IF($D21="","",IF([11]設定!$H35="",INDEX([11]第３表!$F$80:$Q$136,MATCH([11]設定!$D35,[11]第３表!$C$80:$C$136,0),10),[11]設定!$H35))</f>
        <v>157.30000000000001</v>
      </c>
      <c r="O21" s="56">
        <f>IF($D21="","",IF([11]設定!$H35="",INDEX([11]第３表!$F$80:$Q$136,MATCH([11]設定!$D35,[11]第３表!$C$80:$C$136,0),11),[11]設定!$H35))</f>
        <v>140.80000000000001</v>
      </c>
      <c r="P21" s="57">
        <f>IF($D21="","",IF([11]設定!$H35="",INDEX([11]第３表!$F$80:$Q$136,MATCH([11]設定!$D35,[11]第３表!$C$80:$C$136,0),12),[11]設定!$H35))</f>
        <v>16.5</v>
      </c>
    </row>
    <row r="22" spans="2:16" s="8" customFormat="1" ht="17.25" customHeight="1" x14ac:dyDescent="0.45">
      <c r="B22" s="49" t="str">
        <f>+[12]第５表!B22</f>
        <v>P</v>
      </c>
      <c r="C22" s="50"/>
      <c r="D22" s="51" t="str">
        <f>+[12]第５表!D22</f>
        <v>医療，福祉</v>
      </c>
      <c r="E22" s="52">
        <f>IF($D22="","",IF([11]設定!$H36="",INDEX([11]第３表!$F$80:$Q$136,MATCH([11]設定!$D36,[11]第３表!$C$80:$C$136,0),1),[11]設定!$H36))</f>
        <v>19.399999999999999</v>
      </c>
      <c r="F22" s="52">
        <f>IF($D22="","",IF([11]設定!$H36="",INDEX([11]第３表!$F$80:$Q$136,MATCH([11]設定!$D36,[11]第３表!$C$80:$C$136,0),2),[11]設定!$H36))</f>
        <v>142.69999999999999</v>
      </c>
      <c r="G22" s="52">
        <f>IF($D22="","",IF([11]設定!$H36="",INDEX([11]第３表!$F$80:$Q$136,MATCH([11]設定!$D36,[11]第３表!$C$80:$C$136,0),3),[11]設定!$H36))</f>
        <v>138.80000000000001</v>
      </c>
      <c r="H22" s="53">
        <f>IF($D22="","",IF([11]設定!$H36="",INDEX([11]第３表!$F$80:$Q$136,MATCH([11]設定!$D36,[11]第３表!$C$80:$C$136,0),4),[11]設定!$H36))</f>
        <v>3.9</v>
      </c>
      <c r="I22" s="54">
        <f>IF($D22="","",IF([11]設定!$H36="",INDEX([11]第３表!$F$80:$Q$136,MATCH([11]設定!$D36,[11]第３表!$C$80:$C$136,0),5),[11]設定!$H36))</f>
        <v>19.899999999999999</v>
      </c>
      <c r="J22" s="54">
        <f>IF($D22="","",IF([11]設定!$H36="",INDEX([11]第３表!$F$80:$Q$136,MATCH([11]設定!$D36,[11]第３表!$C$80:$C$136,0),6),[11]設定!$H36))</f>
        <v>151</v>
      </c>
      <c r="K22" s="54">
        <f>IF($D22="","",IF([11]設定!$H36="",INDEX([11]第３表!$F$80:$Q$136,MATCH([11]設定!$D36,[11]第３表!$C$80:$C$136,0),7),[11]設定!$H36))</f>
        <v>146.6</v>
      </c>
      <c r="L22" s="55">
        <f>IF($D22="","",IF([11]設定!$H36="",INDEX([11]第３表!$F$80:$Q$136,MATCH([11]設定!$D36,[11]第３表!$C$80:$C$136,0),8),[11]設定!$H36))</f>
        <v>4.4000000000000004</v>
      </c>
      <c r="M22" s="56">
        <f>IF($D22="","",IF([11]設定!$H36="",INDEX([11]第３表!$F$80:$Q$136,MATCH([11]設定!$D36,[11]第３表!$C$80:$C$136,0),9),[11]設定!$H36))</f>
        <v>19.3</v>
      </c>
      <c r="N22" s="56">
        <f>IF($D22="","",IF([11]設定!$H36="",INDEX([11]第３表!$F$80:$Q$136,MATCH([11]設定!$D36,[11]第３表!$C$80:$C$136,0),10),[11]設定!$H36))</f>
        <v>140.19999999999999</v>
      </c>
      <c r="O22" s="56">
        <f>IF($D22="","",IF([11]設定!$H36="",INDEX([11]第３表!$F$80:$Q$136,MATCH([11]設定!$D36,[11]第３表!$C$80:$C$136,0),11),[11]設定!$H36))</f>
        <v>136.4</v>
      </c>
      <c r="P22" s="57">
        <f>IF($D22="","",IF([11]設定!$H36="",INDEX([11]第３表!$F$80:$Q$136,MATCH([11]設定!$D36,[11]第３表!$C$80:$C$136,0),12),[11]設定!$H36))</f>
        <v>3.8</v>
      </c>
    </row>
    <row r="23" spans="2:16" s="8" customFormat="1" ht="17.25" customHeight="1" x14ac:dyDescent="0.45">
      <c r="B23" s="49" t="str">
        <f>+[12]第５表!B23</f>
        <v>Q</v>
      </c>
      <c r="C23" s="50"/>
      <c r="D23" s="51" t="str">
        <f>+[12]第５表!D23</f>
        <v>複合サービス事業</v>
      </c>
      <c r="E23" s="52">
        <f>IF($D23="","",IF([11]設定!$H37="",INDEX([11]第３表!$F$80:$Q$136,MATCH([11]設定!$D37,[11]第３表!$C$80:$C$136,0),1),[11]設定!$H37))</f>
        <v>19.8</v>
      </c>
      <c r="F23" s="52">
        <f>IF($D23="","",IF([11]設定!$H37="",INDEX([11]第３表!$F$80:$Q$136,MATCH([11]設定!$D37,[11]第３表!$C$80:$C$136,0),2),[11]設定!$H37))</f>
        <v>158</v>
      </c>
      <c r="G23" s="52">
        <f>IF($D23="","",IF([11]設定!$H37="",INDEX([11]第３表!$F$80:$Q$136,MATCH([11]設定!$D37,[11]第３表!$C$80:$C$136,0),3),[11]設定!$H37))</f>
        <v>153.4</v>
      </c>
      <c r="H23" s="53">
        <f>IF($D23="","",IF([11]設定!$H37="",INDEX([11]第３表!$F$80:$Q$136,MATCH([11]設定!$D37,[11]第３表!$C$80:$C$136,0),4),[11]設定!$H37))</f>
        <v>4.5999999999999996</v>
      </c>
      <c r="I23" s="54">
        <f>IF($D23="","",IF([11]設定!$H37="",INDEX([11]第３表!$F$80:$Q$136,MATCH([11]設定!$D37,[11]第３表!$C$80:$C$136,0),5),[11]設定!$H37))</f>
        <v>19.7</v>
      </c>
      <c r="J23" s="54">
        <f>IF($D23="","",IF([11]設定!$H37="",INDEX([11]第３表!$F$80:$Q$136,MATCH([11]設定!$D37,[11]第３表!$C$80:$C$136,0),6),[11]設定!$H37))</f>
        <v>160.30000000000001</v>
      </c>
      <c r="K23" s="54">
        <f>IF($D23="","",IF([11]設定!$H37="",INDEX([11]第３表!$F$80:$Q$136,MATCH([11]設定!$D37,[11]第３表!$C$80:$C$136,0),7),[11]設定!$H37))</f>
        <v>156.1</v>
      </c>
      <c r="L23" s="55">
        <f>IF($D23="","",IF([11]設定!$H37="",INDEX([11]第３表!$F$80:$Q$136,MATCH([11]設定!$D37,[11]第３表!$C$80:$C$136,0),8),[11]設定!$H37))</f>
        <v>4.2</v>
      </c>
      <c r="M23" s="56">
        <f>IF($D23="","",IF([11]設定!$H37="",INDEX([11]第３表!$F$80:$Q$136,MATCH([11]設定!$D37,[11]第３表!$C$80:$C$136,0),9),[11]設定!$H37))</f>
        <v>19.899999999999999</v>
      </c>
      <c r="N23" s="56">
        <f>IF($D23="","",IF([11]設定!$H37="",INDEX([11]第３表!$F$80:$Q$136,MATCH([11]設定!$D37,[11]第３表!$C$80:$C$136,0),10),[11]設定!$H37))</f>
        <v>154.19999999999999</v>
      </c>
      <c r="O23" s="56">
        <f>IF($D23="","",IF([11]設定!$H37="",INDEX([11]第３表!$F$80:$Q$136,MATCH([11]設定!$D37,[11]第３表!$C$80:$C$136,0),11),[11]設定!$H37))</f>
        <v>148.80000000000001</v>
      </c>
      <c r="P23" s="57">
        <f>IF($D23="","",IF([11]設定!$H37="",INDEX([11]第３表!$F$80:$Q$136,MATCH([11]設定!$D37,[11]第３表!$C$80:$C$136,0),12),[11]設定!$H37))</f>
        <v>5.4</v>
      </c>
    </row>
    <row r="24" spans="2:16" s="8" customFormat="1" ht="17.25" customHeight="1" x14ac:dyDescent="0.45">
      <c r="B24" s="49" t="str">
        <f>+[12]第５表!B24</f>
        <v>R</v>
      </c>
      <c r="C24" s="50"/>
      <c r="D24" s="62" t="str">
        <f>+[12]第５表!D24</f>
        <v>サービス業（他に分類されないもの）</v>
      </c>
      <c r="E24" s="52">
        <f>IF($D24="","",IF([11]設定!$H38="",INDEX([11]第３表!$F$80:$Q$136,MATCH([11]設定!$D38,[11]第３表!$C$80:$C$136,0),1),[11]設定!$H38))</f>
        <v>19.399999999999999</v>
      </c>
      <c r="F24" s="52">
        <f>IF($D24="","",IF([11]設定!$H38="",INDEX([11]第３表!$F$80:$Q$136,MATCH([11]設定!$D38,[11]第３表!$C$80:$C$136,0),2),[11]設定!$H38))</f>
        <v>145.30000000000001</v>
      </c>
      <c r="G24" s="52">
        <f>IF($D24="","",IF([11]設定!$H38="",INDEX([11]第３表!$F$80:$Q$136,MATCH([11]設定!$D38,[11]第３表!$C$80:$C$136,0),3),[11]設定!$H38))</f>
        <v>137.19999999999999</v>
      </c>
      <c r="H24" s="53">
        <f>IF($D24="","",IF([11]設定!$H38="",INDEX([11]第３表!$F$80:$Q$136,MATCH([11]設定!$D38,[11]第３表!$C$80:$C$136,0),4),[11]設定!$H38))</f>
        <v>8.1</v>
      </c>
      <c r="I24" s="54">
        <f>IF($D24="","",IF([11]設定!$H38="",INDEX([11]第３表!$F$80:$Q$136,MATCH([11]設定!$D38,[11]第３表!$C$80:$C$136,0),5),[11]設定!$H38))</f>
        <v>19.899999999999999</v>
      </c>
      <c r="J24" s="54">
        <f>IF($D24="","",IF([11]設定!$H38="",INDEX([11]第３表!$F$80:$Q$136,MATCH([11]設定!$D38,[11]第３表!$C$80:$C$136,0),6),[11]設定!$H38))</f>
        <v>161.80000000000001</v>
      </c>
      <c r="K24" s="54">
        <f>IF($D24="","",IF([11]設定!$H38="",INDEX([11]第３表!$F$80:$Q$136,MATCH([11]設定!$D38,[11]第３表!$C$80:$C$136,0),7),[11]設定!$H38))</f>
        <v>150</v>
      </c>
      <c r="L24" s="55">
        <f>IF($D24="","",IF([11]設定!$H38="",INDEX([11]第３表!$F$80:$Q$136,MATCH([11]設定!$D38,[11]第３表!$C$80:$C$136,0),8),[11]設定!$H38))</f>
        <v>11.8</v>
      </c>
      <c r="M24" s="56">
        <f>IF($D24="","",IF([11]設定!$H38="",INDEX([11]第３表!$F$80:$Q$136,MATCH([11]設定!$D38,[11]第３表!$C$80:$C$136,0),9),[11]設定!$H38))</f>
        <v>18.8</v>
      </c>
      <c r="N24" s="56">
        <f>IF($D24="","",IF([11]設定!$H38="",INDEX([11]第３表!$F$80:$Q$136,MATCH([11]設定!$D38,[11]第３表!$C$80:$C$136,0),10),[11]設定!$H38))</f>
        <v>128.80000000000001</v>
      </c>
      <c r="O24" s="56">
        <f>IF($D24="","",IF([11]設定!$H38="",INDEX([11]第３表!$F$80:$Q$136,MATCH([11]設定!$D38,[11]第３表!$C$80:$C$136,0),11),[11]設定!$H38))</f>
        <v>124.5</v>
      </c>
      <c r="P24" s="57">
        <f>IF($D24="","",IF([11]設定!$H38="",INDEX([11]第３表!$F$80:$Q$136,MATCH([11]設定!$D38,[11]第３表!$C$80:$C$136,0),12),[11]設定!$H38))</f>
        <v>4.3</v>
      </c>
    </row>
    <row r="25" spans="2:16" s="8" customFormat="1" ht="17.25" customHeight="1" x14ac:dyDescent="0.45">
      <c r="B25" s="45" t="str">
        <f>+[12]第５表!B25</f>
        <v>E09,10</v>
      </c>
      <c r="C25" s="46"/>
      <c r="D25" s="63" t="str">
        <f>+[12]第５表!D25</f>
        <v>食料品・たばこ</v>
      </c>
      <c r="E25" s="48">
        <f>IF($D25="","",IF([11]設定!$H39="",INDEX([11]第３表!$F$80:$Q$136,MATCH([11]設定!$D39,[11]第３表!$C$80:$C$136,0),1),[11]設定!$H39))</f>
        <v>19.100000000000001</v>
      </c>
      <c r="F25" s="48">
        <f>IF($D25="","",IF([11]設定!$H39="",INDEX([11]第３表!$F$80:$Q$136,MATCH([11]設定!$D39,[11]第３表!$C$80:$C$136,0),2),[11]設定!$H39))</f>
        <v>147</v>
      </c>
      <c r="G25" s="48">
        <f>IF($D25="","",IF([11]設定!$H39="",INDEX([11]第３表!$F$80:$Q$136,MATCH([11]設定!$D39,[11]第３表!$C$80:$C$136,0),3),[11]設定!$H39))</f>
        <v>139.4</v>
      </c>
      <c r="H25" s="64">
        <f>IF($D25="","",IF([11]設定!$H39="",INDEX([11]第３表!$F$80:$Q$136,MATCH([11]設定!$D39,[11]第３表!$C$80:$C$136,0),4),[11]設定!$H39))</f>
        <v>7.6</v>
      </c>
      <c r="I25" s="48">
        <f>IF($D25="","",IF([11]設定!$H39="",INDEX([11]第３表!$F$80:$Q$136,MATCH([11]設定!$D39,[11]第３表!$C$80:$C$136,0),5),[11]設定!$H39))</f>
        <v>20</v>
      </c>
      <c r="J25" s="48">
        <f>IF($D25="","",IF([11]設定!$H39="",INDEX([11]第３表!$F$80:$Q$136,MATCH([11]設定!$D39,[11]第３表!$C$80:$C$136,0),6),[11]設定!$H39))</f>
        <v>166.6</v>
      </c>
      <c r="K25" s="48">
        <f>IF($D25="","",IF([11]設定!$H39="",INDEX([11]第３表!$F$80:$Q$136,MATCH([11]設定!$D39,[11]第３表!$C$80:$C$136,0),7),[11]設定!$H39))</f>
        <v>153.9</v>
      </c>
      <c r="L25" s="64">
        <f>IF($D25="","",IF([11]設定!$H39="",INDEX([11]第３表!$F$80:$Q$136,MATCH([11]設定!$D39,[11]第３表!$C$80:$C$136,0),8),[11]設定!$H39))</f>
        <v>12.7</v>
      </c>
      <c r="M25" s="48">
        <f>IF($D25="","",IF([11]設定!$H39="",INDEX([11]第３表!$F$80:$Q$136,MATCH([11]設定!$D39,[11]第３表!$C$80:$C$136,0),9),[11]設定!$H39))</f>
        <v>18.5</v>
      </c>
      <c r="N25" s="48">
        <f>IF($D25="","",IF([11]設定!$H39="",INDEX([11]第３表!$F$80:$Q$136,MATCH([11]設定!$D39,[11]第３表!$C$80:$C$136,0),10),[11]設定!$H39))</f>
        <v>133.5</v>
      </c>
      <c r="O25" s="48">
        <f>IF($D25="","",IF([11]設定!$H39="",INDEX([11]第３表!$F$80:$Q$136,MATCH([11]設定!$D39,[11]第３表!$C$80:$C$136,0),11),[11]設定!$H39))</f>
        <v>129.4</v>
      </c>
      <c r="P25" s="64">
        <f>IF($D25="","",IF([11]設定!$H39="",INDEX([11]第３表!$F$80:$Q$136,MATCH([11]設定!$D39,[11]第３表!$C$80:$C$136,0),12),[11]設定!$H39))</f>
        <v>4.0999999999999996</v>
      </c>
    </row>
    <row r="26" spans="2:16" s="8" customFormat="1" ht="17.25" customHeight="1" x14ac:dyDescent="0.45">
      <c r="B26" s="49" t="str">
        <f>+[12]第５表!B26</f>
        <v>E11</v>
      </c>
      <c r="C26" s="50"/>
      <c r="D26" s="65" t="str">
        <f>+[12]第５表!D26</f>
        <v>繊維工業</v>
      </c>
      <c r="E26" s="52">
        <f>IF($D26="","",IF([11]設定!$H40="",INDEX([11]第３表!$F$80:$Q$136,MATCH([11]設定!$D40,[11]第３表!$C$80:$C$136,0),1),[11]設定!$H40))</f>
        <v>20.399999999999999</v>
      </c>
      <c r="F26" s="52">
        <f>IF($D26="","",IF([11]設定!$H40="",INDEX([11]第３表!$F$80:$Q$136,MATCH([11]設定!$D40,[11]第３表!$C$80:$C$136,0),2),[11]設定!$H40))</f>
        <v>165.6</v>
      </c>
      <c r="G26" s="52">
        <f>IF($D26="","",IF([11]設定!$H40="",INDEX([11]第３表!$F$80:$Q$136,MATCH([11]設定!$D40,[11]第３表!$C$80:$C$136,0),3),[11]設定!$H40))</f>
        <v>152.9</v>
      </c>
      <c r="H26" s="55">
        <f>IF($D26="","",IF([11]設定!$H40="",INDEX([11]第３表!$F$80:$Q$136,MATCH([11]設定!$D40,[11]第３表!$C$80:$C$136,0),4),[11]設定!$H40))</f>
        <v>12.7</v>
      </c>
      <c r="I26" s="52">
        <f>IF($D26="","",IF([11]設定!$H40="",INDEX([11]第３表!$F$80:$Q$136,MATCH([11]設定!$D40,[11]第３表!$C$80:$C$136,0),5),[11]設定!$H40))</f>
        <v>20.399999999999999</v>
      </c>
      <c r="J26" s="52">
        <f>IF($D26="","",IF([11]設定!$H40="",INDEX([11]第３表!$F$80:$Q$136,MATCH([11]設定!$D40,[11]第３表!$C$80:$C$136,0),6),[11]設定!$H40))</f>
        <v>165.8</v>
      </c>
      <c r="K26" s="52">
        <f>IF($D26="","",IF([11]設定!$H40="",INDEX([11]第３表!$F$80:$Q$136,MATCH([11]設定!$D40,[11]第３表!$C$80:$C$136,0),7),[11]設定!$H40))</f>
        <v>150.80000000000001</v>
      </c>
      <c r="L26" s="55">
        <f>IF($D26="","",IF([11]設定!$H40="",INDEX([11]第３表!$F$80:$Q$136,MATCH([11]設定!$D40,[11]第３表!$C$80:$C$136,0),8),[11]設定!$H40))</f>
        <v>15</v>
      </c>
      <c r="M26" s="52">
        <f>IF($D26="","",IF([11]設定!$H40="",INDEX([11]第３表!$F$80:$Q$136,MATCH([11]設定!$D40,[11]第３表!$C$80:$C$136,0),9),[11]設定!$H40))</f>
        <v>20.399999999999999</v>
      </c>
      <c r="N26" s="52">
        <f>IF($D26="","",IF([11]設定!$H40="",INDEX([11]第３表!$F$80:$Q$136,MATCH([11]設定!$D40,[11]第３表!$C$80:$C$136,0),10),[11]設定!$H40))</f>
        <v>165.5</v>
      </c>
      <c r="O26" s="52">
        <f>IF($D26="","",IF([11]設定!$H40="",INDEX([11]第３表!$F$80:$Q$136,MATCH([11]設定!$D40,[11]第３表!$C$80:$C$136,0),11),[11]設定!$H40))</f>
        <v>154.5</v>
      </c>
      <c r="P26" s="55">
        <f>IF($D26="","",IF([11]設定!$H40="",INDEX([11]第３表!$F$80:$Q$136,MATCH([11]設定!$D40,[11]第３表!$C$80:$C$136,0),12),[11]設定!$H40))</f>
        <v>11</v>
      </c>
    </row>
    <row r="27" spans="2:16" s="8" customFormat="1" ht="17.25" customHeight="1" x14ac:dyDescent="0.45">
      <c r="B27" s="49" t="str">
        <f>+[12]第５表!B27</f>
        <v>E12</v>
      </c>
      <c r="C27" s="50"/>
      <c r="D27" s="65" t="str">
        <f>+[12]第５表!D27</f>
        <v>木材・木製品</v>
      </c>
      <c r="E27" s="52">
        <f>IF($D27="","",IF([11]設定!$H41="",INDEX([11]第３表!$F$80:$Q$136,MATCH([11]設定!$D41,[11]第３表!$C$80:$C$136,0),1),[11]設定!$H41))</f>
        <v>20.5</v>
      </c>
      <c r="F27" s="52">
        <f>IF($D27="","",IF([11]設定!$H41="",INDEX([11]第３表!$F$80:$Q$136,MATCH([11]設定!$D41,[11]第３表!$C$80:$C$136,0),2),[11]設定!$H41))</f>
        <v>164.5</v>
      </c>
      <c r="G27" s="52">
        <f>IF($D27="","",IF([11]設定!$H41="",INDEX([11]第３表!$F$80:$Q$136,MATCH([11]設定!$D41,[11]第３表!$C$80:$C$136,0),3),[11]設定!$H41))</f>
        <v>153.5</v>
      </c>
      <c r="H27" s="55">
        <f>IF($D27="","",IF([11]設定!$H41="",INDEX([11]第３表!$F$80:$Q$136,MATCH([11]設定!$D41,[11]第３表!$C$80:$C$136,0),4),[11]設定!$H41))</f>
        <v>11</v>
      </c>
      <c r="I27" s="52">
        <f>IF($D27="","",IF([11]設定!$H41="",INDEX([11]第３表!$F$80:$Q$136,MATCH([11]設定!$D41,[11]第３表!$C$80:$C$136,0),5),[11]設定!$H41))</f>
        <v>20.5</v>
      </c>
      <c r="J27" s="52">
        <f>IF($D27="","",IF([11]設定!$H41="",INDEX([11]第３表!$F$80:$Q$136,MATCH([11]設定!$D41,[11]第３表!$C$80:$C$136,0),6),[11]設定!$H41))</f>
        <v>169</v>
      </c>
      <c r="K27" s="52">
        <f>IF($D27="","",IF([11]設定!$H41="",INDEX([11]第３表!$F$80:$Q$136,MATCH([11]設定!$D41,[11]第３表!$C$80:$C$136,0),7),[11]設定!$H41))</f>
        <v>154.9</v>
      </c>
      <c r="L27" s="55">
        <f>IF($D27="","",IF([11]設定!$H41="",INDEX([11]第３表!$F$80:$Q$136,MATCH([11]設定!$D41,[11]第３表!$C$80:$C$136,0),8),[11]設定!$H41))</f>
        <v>14.1</v>
      </c>
      <c r="M27" s="52">
        <f>IF($D27="","",IF([11]設定!$H41="",INDEX([11]第３表!$F$80:$Q$136,MATCH([11]設定!$D41,[11]第３表!$C$80:$C$136,0),9),[11]設定!$H41))</f>
        <v>20.5</v>
      </c>
      <c r="N27" s="52">
        <f>IF($D27="","",IF([11]設定!$H41="",INDEX([11]第３表!$F$80:$Q$136,MATCH([11]設定!$D41,[11]第３表!$C$80:$C$136,0),10),[11]設定!$H41))</f>
        <v>154.69999999999999</v>
      </c>
      <c r="O27" s="52">
        <f>IF($D27="","",IF([11]設定!$H41="",INDEX([11]第３表!$F$80:$Q$136,MATCH([11]設定!$D41,[11]第３表!$C$80:$C$136,0),11),[11]設定!$H41))</f>
        <v>150.30000000000001</v>
      </c>
      <c r="P27" s="55">
        <f>IF($D27="","",IF([11]設定!$H41="",INDEX([11]第３表!$F$80:$Q$136,MATCH([11]設定!$D41,[11]第３表!$C$80:$C$136,0),12),[11]設定!$H41))</f>
        <v>4.4000000000000004</v>
      </c>
    </row>
    <row r="28" spans="2:16" s="8" customFormat="1" ht="17.25" customHeight="1" x14ac:dyDescent="0.45">
      <c r="B28" s="49" t="str">
        <f>+[12]第５表!B28</f>
        <v>E13</v>
      </c>
      <c r="C28" s="50"/>
      <c r="D28" s="65" t="str">
        <f>+[12]第５表!D28</f>
        <v>家具・装備品</v>
      </c>
      <c r="E28" s="52" t="str">
        <f>IF($D28="","",IF([11]設定!$H42="",INDEX([11]第３表!$F$80:$Q$136,MATCH([11]設定!$D42,[11]第３表!$C$80:$C$136,0),1),[11]設定!$H42))</f>
        <v>x</v>
      </c>
      <c r="F28" s="52" t="str">
        <f>IF($D28="","",IF([11]設定!$H42="",INDEX([11]第３表!$F$80:$Q$136,MATCH([11]設定!$D42,[11]第３表!$C$80:$C$136,0),2),[11]設定!$H42))</f>
        <v>x</v>
      </c>
      <c r="G28" s="52" t="str">
        <f>IF($D28="","",IF([11]設定!$H42="",INDEX([11]第３表!$F$80:$Q$136,MATCH([11]設定!$D42,[11]第３表!$C$80:$C$136,0),3),[11]設定!$H42))</f>
        <v>x</v>
      </c>
      <c r="H28" s="55" t="str">
        <f>IF($D28="","",IF([11]設定!$H42="",INDEX([11]第３表!$F$80:$Q$136,MATCH([11]設定!$D42,[11]第３表!$C$80:$C$136,0),4),[11]設定!$H42))</f>
        <v>x</v>
      </c>
      <c r="I28" s="52" t="str">
        <f>IF($D28="","",IF([11]設定!$H42="",INDEX([11]第３表!$F$80:$Q$136,MATCH([11]設定!$D42,[11]第３表!$C$80:$C$136,0),5),[11]設定!$H42))</f>
        <v>x</v>
      </c>
      <c r="J28" s="52" t="str">
        <f>IF($D28="","",IF([11]設定!$H42="",INDEX([11]第３表!$F$80:$Q$136,MATCH([11]設定!$D42,[11]第３表!$C$80:$C$136,0),6),[11]設定!$H42))</f>
        <v>x</v>
      </c>
      <c r="K28" s="52" t="str">
        <f>IF($D28="","",IF([11]設定!$H42="",INDEX([11]第３表!$F$80:$Q$136,MATCH([11]設定!$D42,[11]第３表!$C$80:$C$136,0),7),[11]設定!$H42))</f>
        <v>x</v>
      </c>
      <c r="L28" s="55" t="str">
        <f>IF($D28="","",IF([11]設定!$H42="",INDEX([11]第３表!$F$80:$Q$136,MATCH([11]設定!$D42,[11]第３表!$C$80:$C$136,0),8),[11]設定!$H42))</f>
        <v>x</v>
      </c>
      <c r="M28" s="52" t="str">
        <f>IF($D28="","",IF([11]設定!$H42="",INDEX([11]第３表!$F$80:$Q$136,MATCH([11]設定!$D42,[11]第３表!$C$80:$C$136,0),9),[11]設定!$H42))</f>
        <v>x</v>
      </c>
      <c r="N28" s="52" t="str">
        <f>IF($D28="","",IF([11]設定!$H42="",INDEX([11]第３表!$F$80:$Q$136,MATCH([11]設定!$D42,[11]第３表!$C$80:$C$136,0),10),[11]設定!$H42))</f>
        <v>x</v>
      </c>
      <c r="O28" s="52" t="str">
        <f>IF($D28="","",IF([11]設定!$H42="",INDEX([11]第３表!$F$80:$Q$136,MATCH([11]設定!$D42,[11]第３表!$C$80:$C$136,0),11),[11]設定!$H42))</f>
        <v>x</v>
      </c>
      <c r="P28" s="55" t="str">
        <f>IF($D28="","",IF([11]設定!$H42="",INDEX([11]第３表!$F$80:$Q$136,MATCH([11]設定!$D42,[11]第３表!$C$80:$C$136,0),12),[11]設定!$H42))</f>
        <v>x</v>
      </c>
    </row>
    <row r="29" spans="2:16" s="8" customFormat="1" ht="17.25" customHeight="1" x14ac:dyDescent="0.45">
      <c r="B29" s="49" t="str">
        <f>+[12]第５表!B29</f>
        <v>E15</v>
      </c>
      <c r="C29" s="50"/>
      <c r="D29" s="65" t="str">
        <f>+[12]第５表!D29</f>
        <v>印刷・同関連業</v>
      </c>
      <c r="E29" s="52">
        <f>IF($D29="","",IF([11]設定!$H43="",INDEX([11]第３表!$F$80:$Q$136,MATCH([11]設定!$D43,[11]第３表!$C$80:$C$136,0),1),[11]設定!$H43))</f>
        <v>20.8</v>
      </c>
      <c r="F29" s="52">
        <f>IF($D29="","",IF([11]設定!$H43="",INDEX([11]第３表!$F$80:$Q$136,MATCH([11]設定!$D43,[11]第３表!$C$80:$C$136,0),2),[11]設定!$H43))</f>
        <v>156.9</v>
      </c>
      <c r="G29" s="52">
        <f>IF($D29="","",IF([11]設定!$H43="",INDEX([11]第３表!$F$80:$Q$136,MATCH([11]設定!$D43,[11]第３表!$C$80:$C$136,0),3),[11]設定!$H43))</f>
        <v>151.19999999999999</v>
      </c>
      <c r="H29" s="55">
        <f>IF($D29="","",IF([11]設定!$H43="",INDEX([11]第３表!$F$80:$Q$136,MATCH([11]設定!$D43,[11]第３表!$C$80:$C$136,0),4),[11]設定!$H43))</f>
        <v>5.7</v>
      </c>
      <c r="I29" s="52">
        <f>IF($D29="","",IF([11]設定!$H43="",INDEX([11]第３表!$F$80:$Q$136,MATCH([11]設定!$D43,[11]第３表!$C$80:$C$136,0),5),[11]設定!$H43))</f>
        <v>21.1</v>
      </c>
      <c r="J29" s="52">
        <f>IF($D29="","",IF([11]設定!$H43="",INDEX([11]第３表!$F$80:$Q$136,MATCH([11]設定!$D43,[11]第３表!$C$80:$C$136,0),6),[11]設定!$H43))</f>
        <v>163.6</v>
      </c>
      <c r="K29" s="52">
        <f>IF($D29="","",IF([11]設定!$H43="",INDEX([11]第３表!$F$80:$Q$136,MATCH([11]設定!$D43,[11]第３表!$C$80:$C$136,0),7),[11]設定!$H43))</f>
        <v>156.69999999999999</v>
      </c>
      <c r="L29" s="55">
        <f>IF($D29="","",IF([11]設定!$H43="",INDEX([11]第３表!$F$80:$Q$136,MATCH([11]設定!$D43,[11]第３表!$C$80:$C$136,0),8),[11]設定!$H43))</f>
        <v>6.9</v>
      </c>
      <c r="M29" s="52">
        <f>IF($D29="","",IF([11]設定!$H43="",INDEX([11]第３表!$F$80:$Q$136,MATCH([11]設定!$D43,[11]第３表!$C$80:$C$136,0),9),[11]設定!$H43))</f>
        <v>20.3</v>
      </c>
      <c r="N29" s="52">
        <f>IF($D29="","",IF([11]設定!$H43="",INDEX([11]第３表!$F$80:$Q$136,MATCH([11]設定!$D43,[11]第３表!$C$80:$C$136,0),10),[11]設定!$H43))</f>
        <v>141.9</v>
      </c>
      <c r="O29" s="52">
        <f>IF($D29="","",IF([11]設定!$H43="",INDEX([11]第３表!$F$80:$Q$136,MATCH([11]設定!$D43,[11]第３表!$C$80:$C$136,0),11),[11]設定!$H43))</f>
        <v>138.9</v>
      </c>
      <c r="P29" s="55">
        <f>IF($D29="","",IF([11]設定!$H43="",INDEX([11]第３表!$F$80:$Q$136,MATCH([11]設定!$D43,[11]第３表!$C$80:$C$136,0),12),[11]設定!$H43))</f>
        <v>3</v>
      </c>
    </row>
    <row r="30" spans="2:16" s="8" customFormat="1" ht="17.25" customHeight="1" x14ac:dyDescent="0.45">
      <c r="B30" s="49" t="str">
        <f>+[12]第５表!B30</f>
        <v>E16,17</v>
      </c>
      <c r="C30" s="50"/>
      <c r="D30" s="65" t="str">
        <f>+[12]第５表!D30</f>
        <v>化学、石油・石炭</v>
      </c>
      <c r="E30" s="52">
        <f>IF($D30="","",IF([11]設定!$H44="",INDEX([11]第３表!$F$80:$Q$136,MATCH([11]設定!$D44,[11]第３表!$C$80:$C$136,0),1),[11]設定!$H44))</f>
        <v>21</v>
      </c>
      <c r="F30" s="52">
        <f>IF($D30="","",IF([11]設定!$H44="",INDEX([11]第３表!$F$80:$Q$136,MATCH([11]設定!$D44,[11]第３表!$C$80:$C$136,0),2),[11]設定!$H44))</f>
        <v>170.7</v>
      </c>
      <c r="G30" s="52">
        <f>IF($D30="","",IF([11]設定!$H44="",INDEX([11]第３表!$F$80:$Q$136,MATCH([11]設定!$D44,[11]第３表!$C$80:$C$136,0),3),[11]設定!$H44))</f>
        <v>153.5</v>
      </c>
      <c r="H30" s="55">
        <f>IF($D30="","",IF([11]設定!$H44="",INDEX([11]第３表!$F$80:$Q$136,MATCH([11]設定!$D44,[11]第３表!$C$80:$C$136,0),4),[11]設定!$H44))</f>
        <v>17.2</v>
      </c>
      <c r="I30" s="52">
        <f>IF($D30="","",IF([11]設定!$H44="",INDEX([11]第３表!$F$80:$Q$136,MATCH([11]設定!$D44,[11]第３表!$C$80:$C$136,0),5),[11]設定!$H44))</f>
        <v>20.9</v>
      </c>
      <c r="J30" s="52">
        <f>IF($D30="","",IF([11]設定!$H44="",INDEX([11]第３表!$F$80:$Q$136,MATCH([11]設定!$D44,[11]第３表!$C$80:$C$136,0),6),[11]設定!$H44))</f>
        <v>171.2</v>
      </c>
      <c r="K30" s="52">
        <f>IF($D30="","",IF([11]設定!$H44="",INDEX([11]第３表!$F$80:$Q$136,MATCH([11]設定!$D44,[11]第３表!$C$80:$C$136,0),7),[11]設定!$H44))</f>
        <v>153.1</v>
      </c>
      <c r="L30" s="55">
        <f>IF($D30="","",IF([11]設定!$H44="",INDEX([11]第３表!$F$80:$Q$136,MATCH([11]設定!$D44,[11]第３表!$C$80:$C$136,0),8),[11]設定!$H44))</f>
        <v>18.100000000000001</v>
      </c>
      <c r="M30" s="52">
        <f>IF($D30="","",IF([11]設定!$H44="",INDEX([11]第３表!$F$80:$Q$136,MATCH([11]設定!$D44,[11]第３表!$C$80:$C$136,0),9),[11]設定!$H44))</f>
        <v>21.3</v>
      </c>
      <c r="N30" s="52">
        <f>IF($D30="","",IF([11]設定!$H44="",INDEX([11]第３表!$F$80:$Q$136,MATCH([11]設定!$D44,[11]第３表!$C$80:$C$136,0),10),[11]設定!$H44))</f>
        <v>164.8</v>
      </c>
      <c r="O30" s="52">
        <f>IF($D30="","",IF([11]設定!$H44="",INDEX([11]第３表!$F$80:$Q$136,MATCH([11]設定!$D44,[11]第３表!$C$80:$C$136,0),11),[11]設定!$H44))</f>
        <v>158.80000000000001</v>
      </c>
      <c r="P30" s="55">
        <f>IF($D30="","",IF([11]設定!$H44="",INDEX([11]第３表!$F$80:$Q$136,MATCH([11]設定!$D44,[11]第３表!$C$80:$C$136,0),12),[11]設定!$H44))</f>
        <v>6</v>
      </c>
    </row>
    <row r="31" spans="2:16" s="8" customFormat="1" ht="17.25" customHeight="1" x14ac:dyDescent="0.45">
      <c r="B31" s="49" t="str">
        <f>+[12]第５表!B31</f>
        <v>E18</v>
      </c>
      <c r="C31" s="50"/>
      <c r="D31" s="65" t="str">
        <f>+[12]第５表!D31</f>
        <v>プラスチック製品</v>
      </c>
      <c r="E31" s="52">
        <f>IF($D31="","",IF([11]設定!$H45="",INDEX([11]第３表!$F$80:$Q$136,MATCH([11]設定!$D45,[11]第３表!$C$80:$C$136,0),1),[11]設定!$H45))</f>
        <v>20.6</v>
      </c>
      <c r="F31" s="52">
        <f>IF($D31="","",IF([11]設定!$H45="",INDEX([11]第３表!$F$80:$Q$136,MATCH([11]設定!$D45,[11]第３表!$C$80:$C$136,0),2),[11]設定!$H45))</f>
        <v>164.5</v>
      </c>
      <c r="G31" s="52">
        <f>IF($D31="","",IF([11]設定!$H45="",INDEX([11]第３表!$F$80:$Q$136,MATCH([11]設定!$D45,[11]第３表!$C$80:$C$136,0),3),[11]設定!$H45))</f>
        <v>152.19999999999999</v>
      </c>
      <c r="H31" s="55">
        <f>IF($D31="","",IF([11]設定!$H45="",INDEX([11]第３表!$F$80:$Q$136,MATCH([11]設定!$D45,[11]第３表!$C$80:$C$136,0),4),[11]設定!$H45))</f>
        <v>12.3</v>
      </c>
      <c r="I31" s="52">
        <f>IF($D31="","",IF([11]設定!$H45="",INDEX([11]第３表!$F$80:$Q$136,MATCH([11]設定!$D45,[11]第３表!$C$80:$C$136,0),5),[11]設定!$H45))</f>
        <v>20.8</v>
      </c>
      <c r="J31" s="52">
        <f>IF($D31="","",IF([11]設定!$H45="",INDEX([11]第３表!$F$80:$Q$136,MATCH([11]設定!$D45,[11]第３表!$C$80:$C$136,0),6),[11]設定!$H45))</f>
        <v>173.2</v>
      </c>
      <c r="K31" s="52">
        <f>IF($D31="","",IF([11]設定!$H45="",INDEX([11]第３表!$F$80:$Q$136,MATCH([11]設定!$D45,[11]第３表!$C$80:$C$136,0),7),[11]設定!$H45))</f>
        <v>157.1</v>
      </c>
      <c r="L31" s="55">
        <f>IF($D31="","",IF([11]設定!$H45="",INDEX([11]第３表!$F$80:$Q$136,MATCH([11]設定!$D45,[11]第３表!$C$80:$C$136,0),8),[11]設定!$H45))</f>
        <v>16.100000000000001</v>
      </c>
      <c r="M31" s="52">
        <f>IF($D31="","",IF([11]設定!$H45="",INDEX([11]第３表!$F$80:$Q$136,MATCH([11]設定!$D45,[11]第３表!$C$80:$C$136,0),9),[11]設定!$H45))</f>
        <v>20.100000000000001</v>
      </c>
      <c r="N31" s="52">
        <f>IF($D31="","",IF([11]設定!$H45="",INDEX([11]第３表!$F$80:$Q$136,MATCH([11]設定!$D45,[11]第３表!$C$80:$C$136,0),10),[11]設定!$H45))</f>
        <v>139.1</v>
      </c>
      <c r="O31" s="52">
        <f>IF($D31="","",IF([11]設定!$H45="",INDEX([11]第３表!$F$80:$Q$136,MATCH([11]設定!$D45,[11]第３表!$C$80:$C$136,0),11),[11]設定!$H45))</f>
        <v>137.9</v>
      </c>
      <c r="P31" s="55">
        <f>IF($D31="","",IF([11]設定!$H45="",INDEX([11]第３表!$F$80:$Q$136,MATCH([11]設定!$D45,[11]第３表!$C$80:$C$136,0),12),[11]設定!$H45))</f>
        <v>1.2</v>
      </c>
    </row>
    <row r="32" spans="2:16" s="8" customFormat="1" ht="17.25" customHeight="1" x14ac:dyDescent="0.45">
      <c r="B32" s="49" t="str">
        <f>+[12]第５表!B32</f>
        <v>E19</v>
      </c>
      <c r="C32" s="50"/>
      <c r="D32" s="65" t="str">
        <f>+[12]第５表!D32</f>
        <v>ゴム製品</v>
      </c>
      <c r="E32" s="52">
        <f>IF($D32="","",IF([11]設定!$H46="",INDEX([11]第３表!$F$80:$Q$136,MATCH([11]設定!$D46,[11]第３表!$C$80:$C$136,0),1),[11]設定!$H46))</f>
        <v>20.8</v>
      </c>
      <c r="F32" s="52">
        <f>IF($D32="","",IF([11]設定!$H46="",INDEX([11]第３表!$F$80:$Q$136,MATCH([11]設定!$D46,[11]第３表!$C$80:$C$136,0),2),[11]設定!$H46))</f>
        <v>172.5</v>
      </c>
      <c r="G32" s="52">
        <f>IF($D32="","",IF([11]設定!$H46="",INDEX([11]第３表!$F$80:$Q$136,MATCH([11]設定!$D46,[11]第３表!$C$80:$C$136,0),3),[11]設定!$H46))</f>
        <v>153.6</v>
      </c>
      <c r="H32" s="55">
        <f>IF($D32="","",IF([11]設定!$H46="",INDEX([11]第３表!$F$80:$Q$136,MATCH([11]設定!$D46,[11]第３表!$C$80:$C$136,0),4),[11]設定!$H46))</f>
        <v>18.899999999999999</v>
      </c>
      <c r="I32" s="52">
        <f>IF($D32="","",IF([11]設定!$H46="",INDEX([11]第３表!$F$80:$Q$136,MATCH([11]設定!$D46,[11]第３表!$C$80:$C$136,0),5),[11]設定!$H46))</f>
        <v>20.9</v>
      </c>
      <c r="J32" s="52">
        <f>IF($D32="","",IF([11]設定!$H46="",INDEX([11]第３表!$F$80:$Q$136,MATCH([11]設定!$D46,[11]第３表!$C$80:$C$136,0),6),[11]設定!$H46))</f>
        <v>173.7</v>
      </c>
      <c r="K32" s="52">
        <f>IF($D32="","",IF([11]設定!$H46="",INDEX([11]第３表!$F$80:$Q$136,MATCH([11]設定!$D46,[11]第３表!$C$80:$C$136,0),7),[11]設定!$H46))</f>
        <v>153.1</v>
      </c>
      <c r="L32" s="55">
        <f>IF($D32="","",IF([11]設定!$H46="",INDEX([11]第３表!$F$80:$Q$136,MATCH([11]設定!$D46,[11]第３表!$C$80:$C$136,0),8),[11]設定!$H46))</f>
        <v>20.6</v>
      </c>
      <c r="M32" s="52">
        <f>IF($D32="","",IF([11]設定!$H46="",INDEX([11]第３表!$F$80:$Q$136,MATCH([11]設定!$D46,[11]第３表!$C$80:$C$136,0),9),[11]設定!$H46))</f>
        <v>20.399999999999999</v>
      </c>
      <c r="N32" s="52">
        <f>IF($D32="","",IF([11]設定!$H46="",INDEX([11]第３表!$F$80:$Q$136,MATCH([11]設定!$D46,[11]第３表!$C$80:$C$136,0),10),[11]設定!$H46))</f>
        <v>164.4</v>
      </c>
      <c r="O32" s="52">
        <f>IF($D32="","",IF([11]設定!$H46="",INDEX([11]第３表!$F$80:$Q$136,MATCH([11]設定!$D46,[11]第３表!$C$80:$C$136,0),11),[11]設定!$H46))</f>
        <v>156.6</v>
      </c>
      <c r="P32" s="55">
        <f>IF($D32="","",IF([11]設定!$H46="",INDEX([11]第３表!$F$80:$Q$136,MATCH([11]設定!$D46,[11]第３表!$C$80:$C$136,0),12),[11]設定!$H46))</f>
        <v>7.8</v>
      </c>
    </row>
    <row r="33" spans="2:17" s="8" customFormat="1" ht="17.25" customHeight="1" x14ac:dyDescent="0.45">
      <c r="B33" s="49" t="str">
        <f>+[12]第５表!B33</f>
        <v>E21</v>
      </c>
      <c r="C33" s="50"/>
      <c r="D33" s="65" t="str">
        <f>+[12]第５表!D33</f>
        <v>窯業・土石製品</v>
      </c>
      <c r="E33" s="52">
        <f>IF($D33="","",IF([11]設定!$H47="",INDEX([11]第３表!$F$80:$Q$136,MATCH([11]設定!$D47,[11]第３表!$C$80:$C$136,0),1),[11]設定!$H47))</f>
        <v>21</v>
      </c>
      <c r="F33" s="52">
        <f>IF($D33="","",IF([11]設定!$H47="",INDEX([11]第３表!$F$80:$Q$136,MATCH([11]設定!$D47,[11]第３表!$C$80:$C$136,0),2),[11]設定!$H47))</f>
        <v>175.2</v>
      </c>
      <c r="G33" s="52">
        <f>IF($D33="","",IF([11]設定!$H47="",INDEX([11]第３表!$F$80:$Q$136,MATCH([11]設定!$D47,[11]第３表!$C$80:$C$136,0),3),[11]設定!$H47))</f>
        <v>165.4</v>
      </c>
      <c r="H33" s="55">
        <f>IF($D33="","",IF([11]設定!$H47="",INDEX([11]第３表!$F$80:$Q$136,MATCH([11]設定!$D47,[11]第３表!$C$80:$C$136,0),4),[11]設定!$H47))</f>
        <v>9.8000000000000007</v>
      </c>
      <c r="I33" s="52">
        <f>IF($D33="","",IF([11]設定!$H47="",INDEX([11]第３表!$F$80:$Q$136,MATCH([11]設定!$D47,[11]第３表!$C$80:$C$136,0),5),[11]設定!$H47))</f>
        <v>20.9</v>
      </c>
      <c r="J33" s="52">
        <f>IF($D33="","",IF([11]設定!$H47="",INDEX([11]第３表!$F$80:$Q$136,MATCH([11]設定!$D47,[11]第３表!$C$80:$C$136,0),6),[11]設定!$H47))</f>
        <v>177.8</v>
      </c>
      <c r="K33" s="52">
        <f>IF($D33="","",IF([11]設定!$H47="",INDEX([11]第３表!$F$80:$Q$136,MATCH([11]設定!$D47,[11]第３表!$C$80:$C$136,0),7),[11]設定!$H47))</f>
        <v>165.4</v>
      </c>
      <c r="L33" s="55">
        <f>IF($D33="","",IF([11]設定!$H47="",INDEX([11]第３表!$F$80:$Q$136,MATCH([11]設定!$D47,[11]第３表!$C$80:$C$136,0),8),[11]設定!$H47))</f>
        <v>12.4</v>
      </c>
      <c r="M33" s="52">
        <f>IF($D33="","",IF([11]設定!$H47="",INDEX([11]第３表!$F$80:$Q$136,MATCH([11]設定!$D47,[11]第３表!$C$80:$C$136,0),9),[11]設定!$H47))</f>
        <v>21.4</v>
      </c>
      <c r="N33" s="52">
        <f>IF($D33="","",IF([11]設定!$H47="",INDEX([11]第３表!$F$80:$Q$136,MATCH([11]設定!$D47,[11]第３表!$C$80:$C$136,0),10),[11]設定!$H47))</f>
        <v>166.4</v>
      </c>
      <c r="O33" s="52">
        <f>IF($D33="","",IF([11]設定!$H47="",INDEX([11]第３表!$F$80:$Q$136,MATCH([11]設定!$D47,[11]第３表!$C$80:$C$136,0),11),[11]設定!$H47))</f>
        <v>165.5</v>
      </c>
      <c r="P33" s="55">
        <f>IF($D33="","",IF([11]設定!$H47="",INDEX([11]第３表!$F$80:$Q$136,MATCH([11]設定!$D47,[11]第３表!$C$80:$C$136,0),12),[11]設定!$H47))</f>
        <v>0.9</v>
      </c>
    </row>
    <row r="34" spans="2:17" s="8" customFormat="1" ht="17.25" customHeight="1" x14ac:dyDescent="0.45">
      <c r="B34" s="49" t="str">
        <f>+[12]第５表!B34</f>
        <v>E24</v>
      </c>
      <c r="C34" s="50"/>
      <c r="D34" s="65" t="str">
        <f>+[12]第５表!D34</f>
        <v>金属製品製造業</v>
      </c>
      <c r="E34" s="55">
        <f>IF($D34="","",IF([11]設定!$H48="",INDEX([11]第３表!$F$80:$Q$136,MATCH([11]設定!$D48,[11]第３表!$C$80:$C$136,0),1),[11]設定!$H48))</f>
        <v>20.9</v>
      </c>
      <c r="F34" s="55">
        <f>IF($D34="","",IF([11]設定!$H48="",INDEX([11]第３表!$F$80:$Q$136,MATCH([11]設定!$D48,[11]第３表!$C$80:$C$136,0),2),[11]設定!$H48))</f>
        <v>162.69999999999999</v>
      </c>
      <c r="G34" s="55">
        <f>IF($D34="","",IF([11]設定!$H48="",INDEX([11]第３表!$F$80:$Q$136,MATCH([11]設定!$D48,[11]第３表!$C$80:$C$136,0),3),[11]設定!$H48))</f>
        <v>155.4</v>
      </c>
      <c r="H34" s="55">
        <f>IF($D34="","",IF([11]設定!$H48="",INDEX([11]第３表!$F$80:$Q$136,MATCH([11]設定!$D48,[11]第３表!$C$80:$C$136,0),4),[11]設定!$H48))</f>
        <v>7.3</v>
      </c>
      <c r="I34" s="55">
        <f>IF($D34="","",IF([11]設定!$H48="",INDEX([11]第３表!$F$80:$Q$136,MATCH([11]設定!$D48,[11]第３表!$C$80:$C$136,0),5),[11]設定!$H48))</f>
        <v>20.7</v>
      </c>
      <c r="J34" s="55">
        <f>IF($D34="","",IF([11]設定!$H48="",INDEX([11]第３表!$F$80:$Q$136,MATCH([11]設定!$D48,[11]第３表!$C$80:$C$136,0),6),[11]設定!$H48))</f>
        <v>169.9</v>
      </c>
      <c r="K34" s="55">
        <f>IF($D34="","",IF([11]設定!$H48="",INDEX([11]第３表!$F$80:$Q$136,MATCH([11]設定!$D48,[11]第３表!$C$80:$C$136,0),7),[11]設定!$H48))</f>
        <v>160.5</v>
      </c>
      <c r="L34" s="55">
        <f>IF($D34="","",IF([11]設定!$H48="",INDEX([11]第３表!$F$80:$Q$136,MATCH([11]設定!$D48,[11]第３表!$C$80:$C$136,0),8),[11]設定!$H48))</f>
        <v>9.4</v>
      </c>
      <c r="M34" s="55">
        <f>IF($D34="","",IF([11]設定!$H48="",INDEX([11]第３表!$F$80:$Q$136,MATCH([11]設定!$D48,[11]第３表!$C$80:$C$136,0),9),[11]設定!$H48))</f>
        <v>21.2</v>
      </c>
      <c r="N34" s="55">
        <f>IF($D34="","",IF([11]設定!$H48="",INDEX([11]第３表!$F$80:$Q$136,MATCH([11]設定!$D48,[11]第３表!$C$80:$C$136,0),10),[11]設定!$H48))</f>
        <v>151.4</v>
      </c>
      <c r="O34" s="55">
        <f>IF($D34="","",IF([11]設定!$H48="",INDEX([11]第３表!$F$80:$Q$136,MATCH([11]設定!$D48,[11]第３表!$C$80:$C$136,0),11),[11]設定!$H48))</f>
        <v>147.4</v>
      </c>
      <c r="P34" s="55">
        <f>IF($D34="","",IF([11]設定!$H48="",INDEX([11]第３表!$F$80:$Q$136,MATCH([11]設定!$D48,[11]第３表!$C$80:$C$136,0),12),[11]設定!$H48))</f>
        <v>4</v>
      </c>
    </row>
    <row r="35" spans="2:17" s="8" customFormat="1" ht="17.25" customHeight="1" x14ac:dyDescent="0.45">
      <c r="B35" s="49" t="str">
        <f>+[12]第５表!B35</f>
        <v>E27</v>
      </c>
      <c r="C35" s="50"/>
      <c r="D35" s="65" t="str">
        <f>+[12]第５表!D35</f>
        <v>業務用機械器具</v>
      </c>
      <c r="E35" s="55">
        <f>IF($D35="","",IF([11]設定!$H49="",INDEX([11]第３表!$F$80:$Q$136,MATCH([11]設定!$D49,[11]第３表!$C$80:$C$136,0),1),[11]設定!$H49))</f>
        <v>19.600000000000001</v>
      </c>
      <c r="F35" s="55">
        <f>IF($D35="","",IF([11]設定!$H49="",INDEX([11]第３表!$F$80:$Q$136,MATCH([11]設定!$D49,[11]第３表!$C$80:$C$136,0),2),[11]設定!$H49))</f>
        <v>161.9</v>
      </c>
      <c r="G35" s="55">
        <f>IF($D35="","",IF([11]設定!$H49="",INDEX([11]第３表!$F$80:$Q$136,MATCH([11]設定!$D49,[11]第３表!$C$80:$C$136,0),3),[11]設定!$H49))</f>
        <v>153.5</v>
      </c>
      <c r="H35" s="55">
        <f>IF($D35="","",IF([11]設定!$H49="",INDEX([11]第３表!$F$80:$Q$136,MATCH([11]設定!$D49,[11]第３表!$C$80:$C$136,0),4),[11]設定!$H49))</f>
        <v>8.4</v>
      </c>
      <c r="I35" s="55">
        <f>IF($D35="","",IF([11]設定!$H49="",INDEX([11]第３表!$F$80:$Q$136,MATCH([11]設定!$D49,[11]第３表!$C$80:$C$136,0),5),[11]設定!$H49))</f>
        <v>19.7</v>
      </c>
      <c r="J35" s="55">
        <f>IF($D35="","",IF([11]設定!$H49="",INDEX([11]第３表!$F$80:$Q$136,MATCH([11]設定!$D49,[11]第３表!$C$80:$C$136,0),6),[11]設定!$H49))</f>
        <v>163.80000000000001</v>
      </c>
      <c r="K35" s="55">
        <f>IF($D35="","",IF([11]設定!$H49="",INDEX([11]第３表!$F$80:$Q$136,MATCH([11]設定!$D49,[11]第３表!$C$80:$C$136,0),7),[11]設定!$H49))</f>
        <v>152.30000000000001</v>
      </c>
      <c r="L35" s="55">
        <f>IF($D35="","",IF([11]設定!$H49="",INDEX([11]第３表!$F$80:$Q$136,MATCH([11]設定!$D49,[11]第３表!$C$80:$C$136,0),8),[11]設定!$H49))</f>
        <v>11.5</v>
      </c>
      <c r="M35" s="55">
        <f>IF($D35="","",IF([11]設定!$H49="",INDEX([11]第３表!$F$80:$Q$136,MATCH([11]設定!$D49,[11]第３表!$C$80:$C$136,0),9),[11]設定!$H49))</f>
        <v>19.600000000000001</v>
      </c>
      <c r="N35" s="55">
        <f>IF($D35="","",IF([11]設定!$H49="",INDEX([11]第３表!$F$80:$Q$136,MATCH([11]設定!$D49,[11]第３表!$C$80:$C$136,0),10),[11]設定!$H49))</f>
        <v>160.1</v>
      </c>
      <c r="O35" s="55">
        <f>IF($D35="","",IF([11]設定!$H49="",INDEX([11]第３表!$F$80:$Q$136,MATCH([11]設定!$D49,[11]第３表!$C$80:$C$136,0),11),[11]設定!$H49))</f>
        <v>154.6</v>
      </c>
      <c r="P35" s="55">
        <f>IF($D35="","",IF([11]設定!$H49="",INDEX([11]第３表!$F$80:$Q$136,MATCH([11]設定!$D49,[11]第３表!$C$80:$C$136,0),12),[11]設定!$H49))</f>
        <v>5.5</v>
      </c>
    </row>
    <row r="36" spans="2:17" s="8" customFormat="1" ht="17.25" customHeight="1" x14ac:dyDescent="0.45">
      <c r="B36" s="49" t="str">
        <f>+[12]第５表!B36</f>
        <v>E28</v>
      </c>
      <c r="C36" s="50"/>
      <c r="D36" s="65" t="str">
        <f>+[12]第５表!D36</f>
        <v>電子・デバイス</v>
      </c>
      <c r="E36" s="55">
        <f>IF($D36="","",IF([11]設定!$H50="",INDEX([11]第３表!$F$80:$Q$136,MATCH([11]設定!$D50,[11]第３表!$C$80:$C$136,0),1),[11]設定!$H50))</f>
        <v>18.5</v>
      </c>
      <c r="F36" s="55">
        <f>IF($D36="","",IF([11]設定!$H50="",INDEX([11]第３表!$F$80:$Q$136,MATCH([11]設定!$D50,[11]第３表!$C$80:$C$136,0),2),[11]設定!$H50))</f>
        <v>157</v>
      </c>
      <c r="G36" s="55">
        <f>IF($D36="","",IF([11]設定!$H50="",INDEX([11]第３表!$F$80:$Q$136,MATCH([11]設定!$D50,[11]第３表!$C$80:$C$136,0),3),[11]設定!$H50))</f>
        <v>144.80000000000001</v>
      </c>
      <c r="H36" s="55">
        <f>IF($D36="","",IF([11]設定!$H50="",INDEX([11]第３表!$F$80:$Q$136,MATCH([11]設定!$D50,[11]第３表!$C$80:$C$136,0),4),[11]設定!$H50))</f>
        <v>12.2</v>
      </c>
      <c r="I36" s="55">
        <f>IF($D36="","",IF([11]設定!$H50="",INDEX([11]第３表!$F$80:$Q$136,MATCH([11]設定!$D50,[11]第３表!$C$80:$C$136,0),5),[11]設定!$H50))</f>
        <v>18.600000000000001</v>
      </c>
      <c r="J36" s="55">
        <f>IF($D36="","",IF([11]設定!$H50="",INDEX([11]第３表!$F$80:$Q$136,MATCH([11]設定!$D50,[11]第３表!$C$80:$C$136,0),6),[11]設定!$H50))</f>
        <v>164.3</v>
      </c>
      <c r="K36" s="55">
        <f>IF($D36="","",IF([11]設定!$H50="",INDEX([11]第３表!$F$80:$Q$136,MATCH([11]設定!$D50,[11]第３表!$C$80:$C$136,0),7),[11]設定!$H50))</f>
        <v>148.80000000000001</v>
      </c>
      <c r="L36" s="55">
        <f>IF($D36="","",IF([11]設定!$H50="",INDEX([11]第３表!$F$80:$Q$136,MATCH([11]設定!$D50,[11]第３表!$C$80:$C$136,0),8),[11]設定!$H50))</f>
        <v>15.5</v>
      </c>
      <c r="M36" s="55">
        <f>IF($D36="","",IF([11]設定!$H50="",INDEX([11]第３表!$F$80:$Q$136,MATCH([11]設定!$D50,[11]第３表!$C$80:$C$136,0),9),[11]設定!$H50))</f>
        <v>18.3</v>
      </c>
      <c r="N36" s="55">
        <f>IF($D36="","",IF([11]設定!$H50="",INDEX([11]第３表!$F$80:$Q$136,MATCH([11]設定!$D50,[11]第３表!$C$80:$C$136,0),10),[11]設定!$H50))</f>
        <v>143</v>
      </c>
      <c r="O36" s="55">
        <f>IF($D36="","",IF([11]設定!$H50="",INDEX([11]第３表!$F$80:$Q$136,MATCH([11]設定!$D50,[11]第３表!$C$80:$C$136,0),11),[11]設定!$H50))</f>
        <v>137</v>
      </c>
      <c r="P36" s="55">
        <f>IF($D36="","",IF([11]設定!$H50="",INDEX([11]第３表!$F$80:$Q$136,MATCH([11]設定!$D50,[11]第３表!$C$80:$C$136,0),12),[11]設定!$H50))</f>
        <v>6</v>
      </c>
    </row>
    <row r="37" spans="2:17" s="8" customFormat="1" ht="17.25" customHeight="1" x14ac:dyDescent="0.45">
      <c r="B37" s="49" t="str">
        <f>+[12]第５表!B37</f>
        <v>E29</v>
      </c>
      <c r="C37" s="50"/>
      <c r="D37" s="65" t="str">
        <f>+[12]第５表!D37</f>
        <v>電気機械器具</v>
      </c>
      <c r="E37" s="55">
        <f>IF($D37="","",IF([11]設定!$H51="",INDEX([11]第３表!$F$80:$Q$136,MATCH([11]設定!$D51,[11]第３表!$C$80:$C$136,0),1),[11]設定!$H51))</f>
        <v>20.7</v>
      </c>
      <c r="F37" s="55">
        <f>IF($D37="","",IF([11]設定!$H51="",INDEX([11]第３表!$F$80:$Q$136,MATCH([11]設定!$D51,[11]第３表!$C$80:$C$136,0),2),[11]設定!$H51))</f>
        <v>167.2</v>
      </c>
      <c r="G37" s="55">
        <f>IF($D37="","",IF([11]設定!$H51="",INDEX([11]第３表!$F$80:$Q$136,MATCH([11]設定!$D51,[11]第３表!$C$80:$C$136,0),3),[11]設定!$H51))</f>
        <v>160.80000000000001</v>
      </c>
      <c r="H37" s="55">
        <f>IF($D37="","",IF([11]設定!$H51="",INDEX([11]第３表!$F$80:$Q$136,MATCH([11]設定!$D51,[11]第３表!$C$80:$C$136,0),4),[11]設定!$H51))</f>
        <v>6.4</v>
      </c>
      <c r="I37" s="55">
        <f>IF($D37="","",IF([11]設定!$H51="",INDEX([11]第３表!$F$80:$Q$136,MATCH([11]設定!$D51,[11]第３表!$C$80:$C$136,0),5),[11]設定!$H51))</f>
        <v>20.9</v>
      </c>
      <c r="J37" s="55">
        <f>IF($D37="","",IF([11]設定!$H51="",INDEX([11]第３表!$F$80:$Q$136,MATCH([11]設定!$D51,[11]第３表!$C$80:$C$136,0),6),[11]設定!$H51))</f>
        <v>172.8</v>
      </c>
      <c r="K37" s="55">
        <f>IF($D37="","",IF([11]設定!$H51="",INDEX([11]第３表!$F$80:$Q$136,MATCH([11]設定!$D51,[11]第３表!$C$80:$C$136,0),7),[11]設定!$H51))</f>
        <v>164.3</v>
      </c>
      <c r="L37" s="55">
        <f>IF($D37="","",IF([11]設定!$H51="",INDEX([11]第３表!$F$80:$Q$136,MATCH([11]設定!$D51,[11]第３表!$C$80:$C$136,0),8),[11]設定!$H51))</f>
        <v>8.5</v>
      </c>
      <c r="M37" s="55">
        <f>IF($D37="","",IF([11]設定!$H51="",INDEX([11]第３表!$F$80:$Q$136,MATCH([11]設定!$D51,[11]第３表!$C$80:$C$136,0),9),[11]設定!$H51))</f>
        <v>20.2</v>
      </c>
      <c r="N37" s="55">
        <f>IF($D37="","",IF([11]設定!$H51="",INDEX([11]第３表!$F$80:$Q$136,MATCH([11]設定!$D51,[11]第３表!$C$80:$C$136,0),10),[11]設定!$H51))</f>
        <v>155.80000000000001</v>
      </c>
      <c r="O37" s="55">
        <f>IF($D37="","",IF([11]設定!$H51="",INDEX([11]第３表!$F$80:$Q$136,MATCH([11]設定!$D51,[11]第３表!$C$80:$C$136,0),11),[11]設定!$H51))</f>
        <v>153.69999999999999</v>
      </c>
      <c r="P37" s="55">
        <f>IF($D37="","",IF([11]設定!$H51="",INDEX([11]第３表!$F$80:$Q$136,MATCH([11]設定!$D51,[11]第３表!$C$80:$C$136,0),12),[11]設定!$H51))</f>
        <v>2.1</v>
      </c>
    </row>
    <row r="38" spans="2:17" s="8" customFormat="1" ht="17.25" customHeight="1" x14ac:dyDescent="0.45">
      <c r="B38" s="49" t="str">
        <f>+[12]第５表!B38</f>
        <v>E31</v>
      </c>
      <c r="C38" s="50"/>
      <c r="D38" s="65" t="str">
        <f>+[12]第５表!D38</f>
        <v>輸送用機械器具</v>
      </c>
      <c r="E38" s="55">
        <f>IF($D38="","",IF([11]設定!$H52="",INDEX([11]第３表!$F$80:$Q$136,MATCH([11]設定!$D52,[11]第３表!$C$80:$C$136,0),1),[11]設定!$H52))</f>
        <v>19.600000000000001</v>
      </c>
      <c r="F38" s="55">
        <f>IF($D38="","",IF([11]設定!$H52="",INDEX([11]第３表!$F$80:$Q$136,MATCH([11]設定!$D52,[11]第３表!$C$80:$C$136,0),2),[11]設定!$H52))</f>
        <v>180.2</v>
      </c>
      <c r="G38" s="55">
        <f>IF($D38="","",IF([11]設定!$H52="",INDEX([11]第３表!$F$80:$Q$136,MATCH([11]設定!$D52,[11]第３表!$C$80:$C$136,0),3),[11]設定!$H52))</f>
        <v>159.6</v>
      </c>
      <c r="H38" s="55">
        <f>IF($D38="","",IF([11]設定!$H52="",INDEX([11]第３表!$F$80:$Q$136,MATCH([11]設定!$D52,[11]第３表!$C$80:$C$136,0),4),[11]設定!$H52))</f>
        <v>20.6</v>
      </c>
      <c r="I38" s="55">
        <f>IF($D38="","",IF([11]設定!$H52="",INDEX([11]第３表!$F$80:$Q$136,MATCH([11]設定!$D52,[11]第３表!$C$80:$C$136,0),5),[11]設定!$H52))</f>
        <v>19.8</v>
      </c>
      <c r="J38" s="55">
        <f>IF($D38="","",IF([11]設定!$H52="",INDEX([11]第３表!$F$80:$Q$136,MATCH([11]設定!$D52,[11]第３表!$C$80:$C$136,0),6),[11]設定!$H52))</f>
        <v>183.7</v>
      </c>
      <c r="K38" s="55">
        <f>IF($D38="","",IF([11]設定!$H52="",INDEX([11]第３表!$F$80:$Q$136,MATCH([11]設定!$D52,[11]第３表!$C$80:$C$136,0),7),[11]設定!$H52))</f>
        <v>161.4</v>
      </c>
      <c r="L38" s="55">
        <f>IF($D38="","",IF([11]設定!$H52="",INDEX([11]第３表!$F$80:$Q$136,MATCH([11]設定!$D52,[11]第３表!$C$80:$C$136,0),8),[11]設定!$H52))</f>
        <v>22.3</v>
      </c>
      <c r="M38" s="55">
        <f>IF($D38="","",IF([11]設定!$H52="",INDEX([11]第３表!$F$80:$Q$136,MATCH([11]設定!$D52,[11]第３表!$C$80:$C$136,0),9),[11]設定!$H52))</f>
        <v>19.100000000000001</v>
      </c>
      <c r="N38" s="55">
        <f>IF($D38="","",IF([11]設定!$H52="",INDEX([11]第３表!$F$80:$Q$136,MATCH([11]設定!$D52,[11]第３表!$C$80:$C$136,0),10),[11]設定!$H52))</f>
        <v>165.1</v>
      </c>
      <c r="O38" s="55">
        <f>IF($D38="","",IF([11]設定!$H52="",INDEX([11]第３表!$F$80:$Q$136,MATCH([11]設定!$D52,[11]第３表!$C$80:$C$136,0),11),[11]設定!$H52))</f>
        <v>151.9</v>
      </c>
      <c r="P38" s="55">
        <f>IF($D38="","",IF([11]設定!$H52="",INDEX([11]第３表!$F$80:$Q$136,MATCH([11]設定!$D52,[11]第３表!$C$80:$C$136,0),12),[11]設定!$H52))</f>
        <v>13.2</v>
      </c>
    </row>
    <row r="39" spans="2:17" s="8" customFormat="1" ht="17.25" customHeight="1" x14ac:dyDescent="0.45">
      <c r="B39" s="66" t="str">
        <f>+[12]第５表!B39</f>
        <v>ES</v>
      </c>
      <c r="C39" s="67"/>
      <c r="D39" s="68" t="str">
        <f>+[12]第５表!D39</f>
        <v>はん用・生産用機械器具</v>
      </c>
      <c r="E39" s="69">
        <f>IF($D39="","",IF([11]設定!$H53="",INDEX([11]第３表!$F$80:$Q$136,MATCH([11]設定!$D53,[11]第３表!$C$80:$C$136,0),1),[11]設定!$H53))</f>
        <v>21.1</v>
      </c>
      <c r="F39" s="69">
        <f>IF($D39="","",IF([11]設定!$H53="",INDEX([11]第３表!$F$80:$Q$136,MATCH([11]設定!$D53,[11]第３表!$C$80:$C$136,0),2),[11]設定!$H53))</f>
        <v>177.5</v>
      </c>
      <c r="G39" s="69">
        <f>IF($D39="","",IF([11]設定!$H53="",INDEX([11]第３表!$F$80:$Q$136,MATCH([11]設定!$D53,[11]第３表!$C$80:$C$136,0),3),[11]設定!$H53))</f>
        <v>162.5</v>
      </c>
      <c r="H39" s="69">
        <f>IF($D39="","",IF([11]設定!$H53="",INDEX([11]第３表!$F$80:$Q$136,MATCH([11]設定!$D53,[11]第３表!$C$80:$C$136,0),4),[11]設定!$H53))</f>
        <v>15</v>
      </c>
      <c r="I39" s="69">
        <f>IF($D39="","",IF([11]設定!$H53="",INDEX([11]第３表!$F$80:$Q$136,MATCH([11]設定!$D53,[11]第３表!$C$80:$C$136,0),5),[11]設定!$H53))</f>
        <v>22</v>
      </c>
      <c r="J39" s="69">
        <f>IF($D39="","",IF([11]設定!$H53="",INDEX([11]第３表!$F$80:$Q$136,MATCH([11]設定!$D53,[11]第３表!$C$80:$C$136,0),6),[11]設定!$H53))</f>
        <v>185.9</v>
      </c>
      <c r="K39" s="69">
        <f>IF($D39="","",IF([11]設定!$H53="",INDEX([11]第３表!$F$80:$Q$136,MATCH([11]設定!$D53,[11]第３表!$C$80:$C$136,0),7),[11]設定!$H53))</f>
        <v>165.6</v>
      </c>
      <c r="L39" s="69">
        <f>IF($D39="","",IF([11]設定!$H53="",INDEX([11]第３表!$F$80:$Q$136,MATCH([11]設定!$D53,[11]第３表!$C$80:$C$136,0),8),[11]設定!$H53))</f>
        <v>20.3</v>
      </c>
      <c r="M39" s="69">
        <f>IF($D39="","",IF([11]設定!$H53="",INDEX([11]第３表!$F$80:$Q$136,MATCH([11]設定!$D53,[11]第３表!$C$80:$C$136,0),9),[11]設定!$H53))</f>
        <v>19.3</v>
      </c>
      <c r="N39" s="69">
        <f>IF($D39="","",IF([11]設定!$H53="",INDEX([11]第３表!$F$80:$Q$136,MATCH([11]設定!$D53,[11]第３表!$C$80:$C$136,0),10),[11]設定!$H53))</f>
        <v>160.5</v>
      </c>
      <c r="O39" s="69">
        <f>IF($D39="","",IF([11]設定!$H53="",INDEX([11]第３表!$F$80:$Q$136,MATCH([11]設定!$D53,[11]第３表!$C$80:$C$136,0),11),[11]設定!$H53))</f>
        <v>156.1</v>
      </c>
      <c r="P39" s="69">
        <f>IF($D39="","",IF([11]設定!$H53="",INDEX([11]第３表!$F$80:$Q$136,MATCH([11]設定!$D53,[11]第３表!$C$80:$C$136,0),12),[11]設定!$H53))</f>
        <v>4.4000000000000004</v>
      </c>
    </row>
    <row r="40" spans="2:17" s="8" customFormat="1" ht="16.2" customHeight="1" x14ac:dyDescent="0.45">
      <c r="B40" s="70" t="str">
        <f>+[12]第５表!B40</f>
        <v>R91</v>
      </c>
      <c r="C40" s="71"/>
      <c r="D40" s="72" t="str">
        <f>+[12]第５表!D40</f>
        <v>職業紹介・労働者派遣業</v>
      </c>
      <c r="E40" s="73">
        <f>IF($D40="","",IF([11]設定!$H54="",INDEX([11]第３表!$F$80:$Q$136,MATCH([11]設定!$D54,[11]第３表!$C$80:$C$136,0),1),[11]設定!$H54))</f>
        <v>19.3</v>
      </c>
      <c r="F40" s="73">
        <f>IF($D40="","",IF([11]設定!$H54="",INDEX([11]第３表!$F$80:$Q$136,MATCH([11]設定!$D54,[11]第３表!$C$80:$C$136,0),2),[11]設定!$H54))</f>
        <v>156.4</v>
      </c>
      <c r="G40" s="73">
        <f>IF($D40="","",IF([11]設定!$H54="",INDEX([11]第３表!$F$80:$Q$136,MATCH([11]設定!$D54,[11]第３表!$C$80:$C$136,0),3),[11]設定!$H54))</f>
        <v>147.30000000000001</v>
      </c>
      <c r="H40" s="73">
        <f>IF($D40="","",IF([11]設定!$H54="",INDEX([11]第３表!$F$80:$Q$136,MATCH([11]設定!$D54,[11]第３表!$C$80:$C$136,0),4),[11]設定!$H54))</f>
        <v>9.1</v>
      </c>
      <c r="I40" s="73">
        <f>IF($D40="","",IF([11]設定!$H54="",INDEX([11]第３表!$F$80:$Q$136,MATCH([11]設定!$D54,[11]第３表!$C$80:$C$136,0),5),[11]設定!$H54))</f>
        <v>19.899999999999999</v>
      </c>
      <c r="J40" s="73">
        <f>IF($D40="","",IF([11]設定!$H54="",INDEX([11]第３表!$F$80:$Q$136,MATCH([11]設定!$D54,[11]第３表!$C$80:$C$136,0),6),[11]設定!$H54))</f>
        <v>172.3</v>
      </c>
      <c r="K40" s="73">
        <f>IF($D40="","",IF([11]設定!$H54="",INDEX([11]第３表!$F$80:$Q$136,MATCH([11]設定!$D54,[11]第３表!$C$80:$C$136,0),7),[11]設定!$H54))</f>
        <v>157.80000000000001</v>
      </c>
      <c r="L40" s="73">
        <f>IF($D40="","",IF([11]設定!$H54="",INDEX([11]第３表!$F$80:$Q$136,MATCH([11]設定!$D54,[11]第３表!$C$80:$C$136,0),8),[11]設定!$H54))</f>
        <v>14.5</v>
      </c>
      <c r="M40" s="73">
        <f>IF($D40="","",IF([11]設定!$H54="",INDEX([11]第３表!$F$80:$Q$136,MATCH([11]設定!$D54,[11]第３表!$C$80:$C$136,0),9),[11]設定!$H54))</f>
        <v>18.8</v>
      </c>
      <c r="N40" s="73">
        <f>IF($D40="","",IF([11]設定!$H54="",INDEX([11]第３表!$F$80:$Q$136,MATCH([11]設定!$D54,[11]第３表!$C$80:$C$136,0),10),[11]設定!$H54))</f>
        <v>142.69999999999999</v>
      </c>
      <c r="O40" s="73">
        <f>IF($D40="","",IF([11]設定!$H54="",INDEX([11]第３表!$F$80:$Q$136,MATCH([11]設定!$D54,[11]第３表!$C$80:$C$136,0),11),[11]設定!$H54))</f>
        <v>138.19999999999999</v>
      </c>
      <c r="P40" s="73">
        <f>IF($D40="","",IF([11]設定!$H54="",INDEX([11]第３表!$F$80:$Q$136,MATCH([11]設定!$D54,[11]第３表!$C$80:$C$136,0),12),[11]設定!$H54))</f>
        <v>4.5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IF($D47="","",IF([11]設定!$I23="",INDEX([11]第３表!$F$10:$Q$66,MATCH([11]設定!$D23,[11]第３表!$C$10:$C$66,0),1),[11]設定!$I23))</f>
        <v>19.5</v>
      </c>
      <c r="F47" s="48">
        <f>IF($D47="","",IF([11]設定!$I23="",INDEX([11]第３表!$F$10:$Q$66,MATCH([11]設定!$D23,[11]第３表!$C$10:$C$66,0),2),[11]設定!$I23))</f>
        <v>151.19999999999999</v>
      </c>
      <c r="G47" s="48">
        <f>IF($D47="","",IF([11]設定!$I23="",INDEX([11]第３表!$F$10:$Q$66,MATCH([11]設定!$D23,[11]第３表!$C$10:$C$66,0),3),[11]設定!$I23))</f>
        <v>140.5</v>
      </c>
      <c r="H47" s="48">
        <f>IF($D47="","",IF([11]設定!$I23="",INDEX([11]第３表!$F$10:$Q$66,MATCH([11]設定!$D23,[11]第３表!$C$10:$C$66,0),4),[11]設定!$I23))</f>
        <v>10.7</v>
      </c>
      <c r="I47" s="48">
        <f>IF($D47="","",IF([11]設定!$I23="",INDEX([11]第３表!$F$10:$Q$66,MATCH([11]設定!$D23,[11]第３表!$C$10:$C$66,0),5),[11]設定!$I23))</f>
        <v>20</v>
      </c>
      <c r="J47" s="48">
        <f>IF($D47="","",IF([11]設定!$I23="",INDEX([11]第３表!$F$10:$Q$66,MATCH([11]設定!$D23,[11]第３表!$C$10:$C$66,0),6),[11]設定!$I23))</f>
        <v>164.4</v>
      </c>
      <c r="K47" s="48">
        <f>IF($D47="","",IF([11]設定!$I23="",INDEX([11]第３表!$F$10:$Q$66,MATCH([11]設定!$D23,[11]第３表!$C$10:$C$66,0),7),[11]設定!$I23))</f>
        <v>149.30000000000001</v>
      </c>
      <c r="L47" s="48">
        <f>IF($D47="","",IF([11]設定!$I23="",INDEX([11]第３表!$F$10:$Q$66,MATCH([11]設定!$D23,[11]第３表!$C$10:$C$66,0),8),[11]設定!$I23))</f>
        <v>15.1</v>
      </c>
      <c r="M47" s="48">
        <f>IF($D47="","",IF([11]設定!$I23="",INDEX([11]第３表!$F$10:$Q$66,MATCH([11]設定!$D23,[11]第３表!$C$10:$C$66,0),9),[11]設定!$I23))</f>
        <v>19</v>
      </c>
      <c r="N47" s="48">
        <f>IF($D47="","",IF([11]設定!$I23="",INDEX([11]第３表!$F$10:$Q$66,MATCH([11]設定!$D23,[11]第３表!$C$10:$C$66,0),10),[11]設定!$I23))</f>
        <v>138.30000000000001</v>
      </c>
      <c r="O47" s="48">
        <f>IF($D47="","",IF([11]設定!$I23="",INDEX([11]第３表!$F$10:$Q$66,MATCH([11]設定!$D23,[11]第３表!$C$10:$C$66,0),11),[11]設定!$I23))</f>
        <v>131.9</v>
      </c>
      <c r="P47" s="48">
        <f>IF($D47="","",IF([11]設定!$I23="",INDEX([11]第３表!$F$10:$Q$66,MATCH([11]設定!$D23,[11]第３表!$C$10:$C$66,0),12),[11]設定!$I23))</f>
        <v>6.4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IF($D48="","",IF([11]設定!$I24="",INDEX([11]第３表!$F$10:$Q$66,MATCH([11]設定!$D24,[11]第３表!$C$10:$C$66,0),1),[11]設定!$I24))</f>
        <v>21.3</v>
      </c>
      <c r="F48" s="52">
        <f>IF($D48="","",IF([11]設定!$I24="",INDEX([11]第３表!$F$10:$Q$66,MATCH([11]設定!$D24,[11]第３表!$C$10:$C$66,0),2),[11]設定!$I24))</f>
        <v>167.8</v>
      </c>
      <c r="G48" s="52">
        <f>IF($D48="","",IF([11]設定!$I24="",INDEX([11]第３表!$F$10:$Q$66,MATCH([11]設定!$D24,[11]第３表!$C$10:$C$66,0),3),[11]設定!$I24))</f>
        <v>158</v>
      </c>
      <c r="H48" s="53">
        <f>IF($D48="","",IF([11]設定!$I24="",INDEX([11]第３表!$F$10:$Q$66,MATCH([11]設定!$D24,[11]第３表!$C$10:$C$66,0),4),[11]設定!$I24))</f>
        <v>9.8000000000000007</v>
      </c>
      <c r="I48" s="54">
        <f>IF($D48="","",IF([11]設定!$I24="",INDEX([11]第３表!$F$10:$Q$66,MATCH([11]設定!$D24,[11]第３表!$C$10:$C$66,0),5),[11]設定!$I24))</f>
        <v>21.5</v>
      </c>
      <c r="J48" s="54">
        <f>IF($D48="","",IF([11]設定!$I24="",INDEX([11]第３表!$F$10:$Q$66,MATCH([11]設定!$D24,[11]第３表!$C$10:$C$66,0),6),[11]設定!$I24))</f>
        <v>169.4</v>
      </c>
      <c r="K48" s="54">
        <f>IF($D48="","",IF([11]設定!$I24="",INDEX([11]第３表!$F$10:$Q$66,MATCH([11]設定!$D24,[11]第３表!$C$10:$C$66,0),7),[11]設定!$I24))</f>
        <v>158.30000000000001</v>
      </c>
      <c r="L48" s="55">
        <f>IF($D48="","",IF([11]設定!$I24="",INDEX([11]第３表!$F$10:$Q$66,MATCH([11]設定!$D24,[11]第３表!$C$10:$C$66,0),8),[11]設定!$I24))</f>
        <v>11.1</v>
      </c>
      <c r="M48" s="56">
        <f>IF($D48="","",IF([11]設定!$I24="",INDEX([11]第３表!$F$10:$Q$66,MATCH([11]設定!$D24,[11]第３表!$C$10:$C$66,0),9),[11]設定!$I24))</f>
        <v>20.7</v>
      </c>
      <c r="N48" s="56">
        <f>IF($D48="","",IF([11]設定!$I24="",INDEX([11]第３表!$F$10:$Q$66,MATCH([11]設定!$D24,[11]第３表!$C$10:$C$66,0),10),[11]設定!$I24))</f>
        <v>161.5</v>
      </c>
      <c r="O48" s="56">
        <f>IF($D48="","",IF([11]設定!$I24="",INDEX([11]第３表!$F$10:$Q$66,MATCH([11]設定!$D24,[11]第３表!$C$10:$C$66,0),11),[11]設定!$I24))</f>
        <v>156.6</v>
      </c>
      <c r="P48" s="57">
        <f>IF($D48="","",IF([11]設定!$I24="",INDEX([11]第３表!$F$10:$Q$66,MATCH([11]設定!$D24,[11]第３表!$C$10:$C$66,0),12),[11]設定!$I24))</f>
        <v>4.9000000000000004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IF($D49="","",IF([11]設定!$I25="",INDEX([11]第３表!$F$10:$Q$66,MATCH([11]設定!$D25,[11]第３表!$C$10:$C$66,0),1),[11]設定!$I25))</f>
        <v>20.100000000000001</v>
      </c>
      <c r="F49" s="52">
        <f>IF($D49="","",IF([11]設定!$I25="",INDEX([11]第３表!$F$10:$Q$66,MATCH([11]設定!$D25,[11]第３表!$C$10:$C$66,0),2),[11]設定!$I25))</f>
        <v>164.2</v>
      </c>
      <c r="G49" s="52">
        <f>IF($D49="","",IF([11]設定!$I25="",INDEX([11]第３表!$F$10:$Q$66,MATCH([11]設定!$D25,[11]第３表!$C$10:$C$66,0),3),[11]設定!$I25))</f>
        <v>152.19999999999999</v>
      </c>
      <c r="H49" s="53">
        <f>IF($D49="","",IF([11]設定!$I25="",INDEX([11]第３表!$F$10:$Q$66,MATCH([11]設定!$D25,[11]第３表!$C$10:$C$66,0),4),[11]設定!$I25))</f>
        <v>12</v>
      </c>
      <c r="I49" s="54">
        <f>IF($D49="","",IF([11]設定!$I25="",INDEX([11]第３表!$F$10:$Q$66,MATCH([11]設定!$D25,[11]第３表!$C$10:$C$66,0),5),[11]設定!$I25))</f>
        <v>20.399999999999999</v>
      </c>
      <c r="J49" s="54">
        <f>IF($D49="","",IF([11]設定!$I25="",INDEX([11]第３表!$F$10:$Q$66,MATCH([11]設定!$D25,[11]第３表!$C$10:$C$66,0),6),[11]設定!$I25))</f>
        <v>171.4</v>
      </c>
      <c r="K49" s="54">
        <f>IF($D49="","",IF([11]設定!$I25="",INDEX([11]第３表!$F$10:$Q$66,MATCH([11]設定!$D25,[11]第３表!$C$10:$C$66,0),7),[11]設定!$I25))</f>
        <v>156.30000000000001</v>
      </c>
      <c r="L49" s="55">
        <f>IF($D49="","",IF([11]設定!$I25="",INDEX([11]第３表!$F$10:$Q$66,MATCH([11]設定!$D25,[11]第３表!$C$10:$C$66,0),8),[11]設定!$I25))</f>
        <v>15.1</v>
      </c>
      <c r="M49" s="56">
        <f>IF($D49="","",IF([11]設定!$I25="",INDEX([11]第３表!$F$10:$Q$66,MATCH([11]設定!$D25,[11]第３表!$C$10:$C$66,0),9),[11]設定!$I25))</f>
        <v>19.600000000000001</v>
      </c>
      <c r="N49" s="56">
        <f>IF($D49="","",IF([11]設定!$I25="",INDEX([11]第３表!$F$10:$Q$66,MATCH([11]設定!$D25,[11]第３表!$C$10:$C$66,0),10),[11]設定!$I25))</f>
        <v>151.69999999999999</v>
      </c>
      <c r="O49" s="56">
        <f>IF($D49="","",IF([11]設定!$I25="",INDEX([11]第３表!$F$10:$Q$66,MATCH([11]設定!$D25,[11]第３表!$C$10:$C$66,0),11),[11]設定!$I25))</f>
        <v>145.1</v>
      </c>
      <c r="P49" s="57">
        <f>IF($D49="","",IF([11]設定!$I25="",INDEX([11]第３表!$F$10:$Q$66,MATCH([11]設定!$D25,[11]第３表!$C$10:$C$66,0),12),[11]設定!$I25))</f>
        <v>6.6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IF($D50="","",IF([11]設定!$I26="",INDEX([11]第３表!$F$10:$Q$66,MATCH([11]設定!$D26,[11]第３表!$C$10:$C$66,0),1),[11]設定!$I26))</f>
        <v>20.100000000000001</v>
      </c>
      <c r="F50" s="52">
        <f>IF($D50="","",IF([11]設定!$I26="",INDEX([11]第３表!$F$10:$Q$66,MATCH([11]設定!$D26,[11]第３表!$C$10:$C$66,0),2),[11]設定!$I26))</f>
        <v>162</v>
      </c>
      <c r="G50" s="52">
        <f>IF($D50="","",IF([11]設定!$I26="",INDEX([11]第３表!$F$10:$Q$66,MATCH([11]設定!$D26,[11]第３表!$C$10:$C$66,0),3),[11]設定!$I26))</f>
        <v>147.80000000000001</v>
      </c>
      <c r="H50" s="53">
        <f>IF($D50="","",IF([11]設定!$I26="",INDEX([11]第３表!$F$10:$Q$66,MATCH([11]設定!$D26,[11]第３表!$C$10:$C$66,0),4),[11]設定!$I26))</f>
        <v>14.2</v>
      </c>
      <c r="I50" s="54">
        <f>IF($D50="","",IF([11]設定!$I26="",INDEX([11]第３表!$F$10:$Q$66,MATCH([11]設定!$D26,[11]第３表!$C$10:$C$66,0),5),[11]設定!$I26))</f>
        <v>20</v>
      </c>
      <c r="J50" s="54">
        <f>IF($D50="","",IF([11]設定!$I26="",INDEX([11]第３表!$F$10:$Q$66,MATCH([11]設定!$D26,[11]第３表!$C$10:$C$66,0),6),[11]設定!$I26))</f>
        <v>165.1</v>
      </c>
      <c r="K50" s="54">
        <f>IF($D50="","",IF([11]設定!$I26="",INDEX([11]第３表!$F$10:$Q$66,MATCH([11]設定!$D26,[11]第３表!$C$10:$C$66,0),7),[11]設定!$I26))</f>
        <v>149.6</v>
      </c>
      <c r="L50" s="55">
        <f>IF($D50="","",IF([11]設定!$I26="",INDEX([11]第３表!$F$10:$Q$66,MATCH([11]設定!$D26,[11]第３表!$C$10:$C$66,0),8),[11]設定!$I26))</f>
        <v>15.5</v>
      </c>
      <c r="M50" s="56">
        <f>IF($D50="","",IF([11]設定!$I26="",INDEX([11]第３表!$F$10:$Q$66,MATCH([11]設定!$D26,[11]第３表!$C$10:$C$66,0),9),[11]設定!$I26))</f>
        <v>20.399999999999999</v>
      </c>
      <c r="N50" s="56">
        <f>IF($D50="","",IF([11]設定!$I26="",INDEX([11]第３表!$F$10:$Q$66,MATCH([11]設定!$D26,[11]第３表!$C$10:$C$66,0),10),[11]設定!$I26))</f>
        <v>142.30000000000001</v>
      </c>
      <c r="O50" s="56">
        <f>IF($D50="","",IF([11]設定!$I26="",INDEX([11]第３表!$F$10:$Q$66,MATCH([11]設定!$D26,[11]第３表!$C$10:$C$66,0),11),[11]設定!$I26))</f>
        <v>136.19999999999999</v>
      </c>
      <c r="P50" s="57">
        <f>IF($D50="","",IF([11]設定!$I26="",INDEX([11]第３表!$F$10:$Q$66,MATCH([11]設定!$D26,[11]第３表!$C$10:$C$66,0),12),[11]設定!$I26))</f>
        <v>6.1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IF($D51="","",IF([11]設定!$I27="",INDEX([11]第３表!$F$10:$Q$66,MATCH([11]設定!$D27,[11]第３表!$C$10:$C$66,0),1),[11]設定!$I27))</f>
        <v>19.899999999999999</v>
      </c>
      <c r="F51" s="52">
        <f>IF($D51="","",IF([11]設定!$I27="",INDEX([11]第３表!$F$10:$Q$66,MATCH([11]設定!$D27,[11]第３表!$C$10:$C$66,0),2),[11]設定!$I27))</f>
        <v>164.6</v>
      </c>
      <c r="G51" s="52">
        <f>IF($D51="","",IF([11]設定!$I27="",INDEX([11]第３表!$F$10:$Q$66,MATCH([11]設定!$D27,[11]第３表!$C$10:$C$66,0),3),[11]設定!$I27))</f>
        <v>153.1</v>
      </c>
      <c r="H51" s="53">
        <f>IF($D51="","",IF([11]設定!$I27="",INDEX([11]第３表!$F$10:$Q$66,MATCH([11]設定!$D27,[11]第３表!$C$10:$C$66,0),4),[11]設定!$I27))</f>
        <v>11.5</v>
      </c>
      <c r="I51" s="54">
        <f>IF($D51="","",IF([11]設定!$I27="",INDEX([11]第３表!$F$10:$Q$66,MATCH([11]設定!$D27,[11]第３表!$C$10:$C$66,0),5),[11]設定!$I27))</f>
        <v>20</v>
      </c>
      <c r="J51" s="54">
        <f>IF($D51="","",IF([11]設定!$I27="",INDEX([11]第３表!$F$10:$Q$66,MATCH([11]設定!$D27,[11]第３表!$C$10:$C$66,0),6),[11]設定!$I27))</f>
        <v>167.5</v>
      </c>
      <c r="K51" s="54">
        <f>IF($D51="","",IF([11]設定!$I27="",INDEX([11]第３表!$F$10:$Q$66,MATCH([11]設定!$D27,[11]第３表!$C$10:$C$66,0),7),[11]設定!$I27))</f>
        <v>155.19999999999999</v>
      </c>
      <c r="L51" s="55">
        <f>IF($D51="","",IF([11]設定!$I27="",INDEX([11]第３表!$F$10:$Q$66,MATCH([11]設定!$D27,[11]第３表!$C$10:$C$66,0),8),[11]設定!$I27))</f>
        <v>12.3</v>
      </c>
      <c r="M51" s="56">
        <f>IF($D51="","",IF([11]設定!$I27="",INDEX([11]第３表!$F$10:$Q$66,MATCH([11]設定!$D27,[11]第３表!$C$10:$C$66,0),9),[11]設定!$I27))</f>
        <v>19.8</v>
      </c>
      <c r="N51" s="56">
        <f>IF($D51="","",IF([11]設定!$I27="",INDEX([11]第３表!$F$10:$Q$66,MATCH([11]設定!$D27,[11]第３表!$C$10:$C$66,0),10),[11]設定!$I27))</f>
        <v>157.9</v>
      </c>
      <c r="O51" s="56">
        <f>IF($D51="","",IF([11]設定!$I27="",INDEX([11]第３表!$F$10:$Q$66,MATCH([11]設定!$D27,[11]第３表!$C$10:$C$66,0),11),[11]設定!$I27))</f>
        <v>148.1</v>
      </c>
      <c r="P51" s="57">
        <f>IF($D51="","",IF([11]設定!$I27="",INDEX([11]第３表!$F$10:$Q$66,MATCH([11]設定!$D27,[11]第３表!$C$10:$C$66,0),12),[11]設定!$I27))</f>
        <v>9.8000000000000007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IF($D52="","",IF([11]設定!$I28="",INDEX([11]第３表!$F$10:$Q$66,MATCH([11]設定!$D28,[11]第３表!$C$10:$C$66,0),1),[11]設定!$I28))</f>
        <v>20.5</v>
      </c>
      <c r="F52" s="52">
        <f>IF($D52="","",IF([11]設定!$I28="",INDEX([11]第３表!$F$10:$Q$66,MATCH([11]設定!$D28,[11]第３表!$C$10:$C$66,0),2),[11]設定!$I28))</f>
        <v>170.3</v>
      </c>
      <c r="G52" s="52">
        <f>IF($D52="","",IF([11]設定!$I28="",INDEX([11]第３表!$F$10:$Q$66,MATCH([11]設定!$D28,[11]第３表!$C$10:$C$66,0),3),[11]設定!$I28))</f>
        <v>148.80000000000001</v>
      </c>
      <c r="H52" s="53">
        <f>IF($D52="","",IF([11]設定!$I28="",INDEX([11]第３表!$F$10:$Q$66,MATCH([11]設定!$D28,[11]第３表!$C$10:$C$66,0),4),[11]設定!$I28))</f>
        <v>21.5</v>
      </c>
      <c r="I52" s="54">
        <f>IF($D52="","",IF([11]設定!$I28="",INDEX([11]第３表!$F$10:$Q$66,MATCH([11]設定!$D28,[11]第３表!$C$10:$C$66,0),5),[11]設定!$I28))</f>
        <v>20.5</v>
      </c>
      <c r="J52" s="54">
        <f>IF($D52="","",IF([11]設定!$I28="",INDEX([11]第３表!$F$10:$Q$66,MATCH([11]設定!$D28,[11]第３表!$C$10:$C$66,0),6),[11]設定!$I28))</f>
        <v>173.4</v>
      </c>
      <c r="K52" s="54">
        <f>IF($D52="","",IF([11]設定!$I28="",INDEX([11]第３表!$F$10:$Q$66,MATCH([11]設定!$D28,[11]第３表!$C$10:$C$66,0),7),[11]設定!$I28))</f>
        <v>149.9</v>
      </c>
      <c r="L52" s="55">
        <f>IF($D52="","",IF([11]設定!$I28="",INDEX([11]第３表!$F$10:$Q$66,MATCH([11]設定!$D28,[11]第３表!$C$10:$C$66,0),8),[11]設定!$I28))</f>
        <v>23.5</v>
      </c>
      <c r="M52" s="56">
        <f>IF($D52="","",IF([11]設定!$I28="",INDEX([11]第３表!$F$10:$Q$66,MATCH([11]設定!$D28,[11]第３表!$C$10:$C$66,0),9),[11]設定!$I28))</f>
        <v>20.7</v>
      </c>
      <c r="N52" s="56">
        <f>IF($D52="","",IF([11]設定!$I28="",INDEX([11]第３表!$F$10:$Q$66,MATCH([11]設定!$D28,[11]第３表!$C$10:$C$66,0),10),[11]設定!$I28))</f>
        <v>144.30000000000001</v>
      </c>
      <c r="O52" s="56">
        <f>IF($D52="","",IF([11]設定!$I28="",INDEX([11]第３表!$F$10:$Q$66,MATCH([11]設定!$D28,[11]第３表!$C$10:$C$66,0),11),[11]設定!$I28))</f>
        <v>139.6</v>
      </c>
      <c r="P52" s="57">
        <f>IF($D52="","",IF([11]設定!$I28="",INDEX([11]第３表!$F$10:$Q$66,MATCH([11]設定!$D28,[11]第３表!$C$10:$C$66,0),12),[11]設定!$I28))</f>
        <v>4.7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IF($D53="","",IF([11]設定!$I29="",INDEX([11]第３表!$F$10:$Q$66,MATCH([11]設定!$D29,[11]第３表!$C$10:$C$66,0),1),[11]設定!$I29))</f>
        <v>18.7</v>
      </c>
      <c r="F53" s="52">
        <f>IF($D53="","",IF([11]設定!$I29="",INDEX([11]第３表!$F$10:$Q$66,MATCH([11]設定!$D29,[11]第３表!$C$10:$C$66,0),2),[11]設定!$I29))</f>
        <v>130.19999999999999</v>
      </c>
      <c r="G53" s="52">
        <f>IF($D53="","",IF([11]設定!$I29="",INDEX([11]第３表!$F$10:$Q$66,MATCH([11]設定!$D29,[11]第３表!$C$10:$C$66,0),3),[11]設定!$I29))</f>
        <v>122.7</v>
      </c>
      <c r="H53" s="53">
        <f>IF($D53="","",IF([11]設定!$I29="",INDEX([11]第３表!$F$10:$Q$66,MATCH([11]設定!$D29,[11]第３表!$C$10:$C$66,0),4),[11]設定!$I29))</f>
        <v>7.5</v>
      </c>
      <c r="I53" s="54">
        <f>IF($D53="","",IF([11]設定!$I29="",INDEX([11]第３表!$F$10:$Q$66,MATCH([11]設定!$D29,[11]第３表!$C$10:$C$66,0),5),[11]設定!$I29))</f>
        <v>19.8</v>
      </c>
      <c r="J53" s="54">
        <f>IF($D53="","",IF([11]設定!$I29="",INDEX([11]第３表!$F$10:$Q$66,MATCH([11]設定!$D29,[11]第３表!$C$10:$C$66,0),6),[11]設定!$I29))</f>
        <v>153.1</v>
      </c>
      <c r="K53" s="54">
        <f>IF($D53="","",IF([11]設定!$I29="",INDEX([11]第３表!$F$10:$Q$66,MATCH([11]設定!$D29,[11]第３表!$C$10:$C$66,0),7),[11]設定!$I29))</f>
        <v>141.19999999999999</v>
      </c>
      <c r="L53" s="55">
        <f>IF($D53="","",IF([11]設定!$I29="",INDEX([11]第３表!$F$10:$Q$66,MATCH([11]設定!$D29,[11]第３表!$C$10:$C$66,0),8),[11]設定!$I29))</f>
        <v>11.9</v>
      </c>
      <c r="M53" s="56">
        <f>IF($D53="","",IF([11]設定!$I29="",INDEX([11]第３表!$F$10:$Q$66,MATCH([11]設定!$D29,[11]第３表!$C$10:$C$66,0),9),[11]設定!$I29))</f>
        <v>17.899999999999999</v>
      </c>
      <c r="N53" s="56">
        <f>IF($D53="","",IF([11]設定!$I29="",INDEX([11]第３表!$F$10:$Q$66,MATCH([11]設定!$D29,[11]第３表!$C$10:$C$66,0),10),[11]設定!$I29))</f>
        <v>114.1</v>
      </c>
      <c r="O53" s="56">
        <f>IF($D53="","",IF([11]設定!$I29="",INDEX([11]第３表!$F$10:$Q$66,MATCH([11]設定!$D29,[11]第３表!$C$10:$C$66,0),11),[11]設定!$I29))</f>
        <v>109.7</v>
      </c>
      <c r="P53" s="57">
        <f>IF($D53="","",IF([11]設定!$I29="",INDEX([11]第３表!$F$10:$Q$66,MATCH([11]設定!$D29,[11]第３表!$C$10:$C$66,0),12),[11]設定!$I29))</f>
        <v>4.4000000000000004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>
        <f>IF($D54="","",IF([11]設定!$I30="",INDEX([11]第３表!$F$10:$Q$66,MATCH([11]設定!$D30,[11]第３表!$C$10:$C$66,0),1),[11]設定!$I30))</f>
        <v>20.7</v>
      </c>
      <c r="F54" s="52">
        <f>IF($D54="","",IF([11]設定!$I30="",INDEX([11]第３表!$F$10:$Q$66,MATCH([11]設定!$D30,[11]第３表!$C$10:$C$66,0),2),[11]設定!$I30))</f>
        <v>149.69999999999999</v>
      </c>
      <c r="G54" s="52">
        <f>IF($D54="","",IF([11]設定!$I30="",INDEX([11]第３表!$F$10:$Q$66,MATCH([11]設定!$D30,[11]第３表!$C$10:$C$66,0),3),[11]設定!$I30))</f>
        <v>145.19999999999999</v>
      </c>
      <c r="H54" s="53">
        <f>IF($D54="","",IF([11]設定!$I30="",INDEX([11]第３表!$F$10:$Q$66,MATCH([11]設定!$D30,[11]第３表!$C$10:$C$66,0),4),[11]設定!$I30))</f>
        <v>4.5</v>
      </c>
      <c r="I54" s="54">
        <f>IF($D54="","",IF([11]設定!$I30="",INDEX([11]第３表!$F$10:$Q$66,MATCH([11]設定!$D30,[11]第３表!$C$10:$C$66,0),5),[11]設定!$I30))</f>
        <v>20.5</v>
      </c>
      <c r="J54" s="54">
        <f>IF($D54="","",IF([11]設定!$I30="",INDEX([11]第３表!$F$10:$Q$66,MATCH([11]設定!$D30,[11]第３表!$C$10:$C$66,0),6),[11]設定!$I30))</f>
        <v>150.9</v>
      </c>
      <c r="K54" s="54">
        <f>IF($D54="","",IF([11]設定!$I30="",INDEX([11]第３表!$F$10:$Q$66,MATCH([11]設定!$D30,[11]第３表!$C$10:$C$66,0),7),[11]設定!$I30))</f>
        <v>147.9</v>
      </c>
      <c r="L54" s="55">
        <f>IF($D54="","",IF([11]設定!$I30="",INDEX([11]第３表!$F$10:$Q$66,MATCH([11]設定!$D30,[11]第３表!$C$10:$C$66,0),8),[11]設定!$I30))</f>
        <v>3</v>
      </c>
      <c r="M54" s="56">
        <f>IF($D54="","",IF([11]設定!$I30="",INDEX([11]第３表!$F$10:$Q$66,MATCH([11]設定!$D30,[11]第３表!$C$10:$C$66,0),9),[11]設定!$I30))</f>
        <v>20.9</v>
      </c>
      <c r="N54" s="56">
        <f>IF($D54="","",IF([11]設定!$I30="",INDEX([11]第３表!$F$10:$Q$66,MATCH([11]設定!$D30,[11]第３表!$C$10:$C$66,0),10),[11]設定!$I30))</f>
        <v>148.6</v>
      </c>
      <c r="O54" s="56">
        <f>IF($D54="","",IF([11]設定!$I30="",INDEX([11]第３表!$F$10:$Q$66,MATCH([11]設定!$D30,[11]第３表!$C$10:$C$66,0),11),[11]設定!$I30))</f>
        <v>142.9</v>
      </c>
      <c r="P54" s="57">
        <f>IF($D54="","",IF([11]設定!$I30="",INDEX([11]第３表!$F$10:$Q$66,MATCH([11]設定!$D30,[11]第３表!$C$10:$C$66,0),12),[11]設定!$I30))</f>
        <v>5.7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IF($D55="","",IF([11]設定!$I31="",INDEX([11]第３表!$F$10:$Q$66,MATCH([11]設定!$D31,[11]第３表!$C$10:$C$66,0),1),[11]設定!$I31))</f>
        <v>20.7</v>
      </c>
      <c r="F55" s="52">
        <f>IF($D55="","",IF([11]設定!$I31="",INDEX([11]第３表!$F$10:$Q$66,MATCH([11]設定!$D31,[11]第３表!$C$10:$C$66,0),2),[11]設定!$I31))</f>
        <v>159.80000000000001</v>
      </c>
      <c r="G55" s="52">
        <f>IF($D55="","",IF([11]設定!$I31="",INDEX([11]第３表!$F$10:$Q$66,MATCH([11]設定!$D31,[11]第３表!$C$10:$C$66,0),3),[11]設定!$I31))</f>
        <v>155.1</v>
      </c>
      <c r="H55" s="52">
        <f>IF($D55="","",IF([11]設定!$I31="",INDEX([11]第３表!$F$10:$Q$66,MATCH([11]設定!$D31,[11]第３表!$C$10:$C$66,0),4),[11]設定!$I31))</f>
        <v>4.7</v>
      </c>
      <c r="I55" s="54">
        <f>IF($D55="","",IF([11]設定!$I31="",INDEX([11]第３表!$F$10:$Q$66,MATCH([11]設定!$D31,[11]第３表!$C$10:$C$66,0),5),[11]設定!$I31))</f>
        <v>21.3</v>
      </c>
      <c r="J55" s="54">
        <f>IF($D55="","",IF([11]設定!$I31="",INDEX([11]第３表!$F$10:$Q$66,MATCH([11]設定!$D31,[11]第３表!$C$10:$C$66,0),6),[11]設定!$I31))</f>
        <v>171.4</v>
      </c>
      <c r="K55" s="54">
        <f>IF($D55="","",IF([11]設定!$I31="",INDEX([11]第３表!$F$10:$Q$66,MATCH([11]設定!$D31,[11]第３表!$C$10:$C$66,0),7),[11]設定!$I31))</f>
        <v>165.9</v>
      </c>
      <c r="L55" s="55">
        <f>IF($D55="","",IF([11]設定!$I31="",INDEX([11]第３表!$F$10:$Q$66,MATCH([11]設定!$D31,[11]第３表!$C$10:$C$66,0),8),[11]設定!$I31))</f>
        <v>5.5</v>
      </c>
      <c r="M55" s="56">
        <f>IF($D55="","",IF([11]設定!$I31="",INDEX([11]第３表!$F$10:$Q$66,MATCH([11]設定!$D31,[11]第３表!$C$10:$C$66,0),9),[11]設定!$I31))</f>
        <v>19.600000000000001</v>
      </c>
      <c r="N55" s="56">
        <f>IF($D55="","",IF([11]設定!$I31="",INDEX([11]第３表!$F$10:$Q$66,MATCH([11]設定!$D31,[11]第３表!$C$10:$C$66,0),10),[11]設定!$I31))</f>
        <v>139.69999999999999</v>
      </c>
      <c r="O55" s="56">
        <f>IF($D55="","",IF([11]設定!$I31="",INDEX([11]第３表!$F$10:$Q$66,MATCH([11]設定!$D31,[11]第３表!$C$10:$C$66,0),11),[11]設定!$I31))</f>
        <v>136.5</v>
      </c>
      <c r="P55" s="57">
        <f>IF($D55="","",IF([11]設定!$I31="",INDEX([11]第３表!$F$10:$Q$66,MATCH([11]設定!$D31,[11]第３表!$C$10:$C$66,0),12),[11]設定!$I31))</f>
        <v>3.2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IF($D56="","",IF([11]設定!$I32="",INDEX([11]第３表!$F$10:$Q$66,MATCH([11]設定!$D32,[11]第３表!$C$10:$C$66,0),1),[11]設定!$I32))</f>
        <v>20.8</v>
      </c>
      <c r="F56" s="52">
        <f>IF($D56="","",IF([11]設定!$I32="",INDEX([11]第３表!$F$10:$Q$66,MATCH([11]設定!$D32,[11]第３表!$C$10:$C$66,0),2),[11]設定!$I32))</f>
        <v>173.4</v>
      </c>
      <c r="G56" s="52">
        <f>IF($D56="","",IF([11]設定!$I32="",INDEX([11]第３表!$F$10:$Q$66,MATCH([11]設定!$D32,[11]第３表!$C$10:$C$66,0),3),[11]設定!$I32))</f>
        <v>159.4</v>
      </c>
      <c r="H56" s="53">
        <f>IF($D56="","",IF([11]設定!$I32="",INDEX([11]第３表!$F$10:$Q$66,MATCH([11]設定!$D32,[11]第３表!$C$10:$C$66,0),4),[11]設定!$I32))</f>
        <v>14</v>
      </c>
      <c r="I56" s="54">
        <f>IF($D56="","",IF([11]設定!$I32="",INDEX([11]第３表!$F$10:$Q$66,MATCH([11]設定!$D32,[11]第３表!$C$10:$C$66,0),5),[11]設定!$I32))</f>
        <v>20.6</v>
      </c>
      <c r="J56" s="54">
        <f>IF($D56="","",IF([11]設定!$I32="",INDEX([11]第３表!$F$10:$Q$66,MATCH([11]設定!$D32,[11]第３表!$C$10:$C$66,0),6),[11]設定!$I32))</f>
        <v>174</v>
      </c>
      <c r="K56" s="54">
        <f>IF($D56="","",IF([11]設定!$I32="",INDEX([11]第３表!$F$10:$Q$66,MATCH([11]設定!$D32,[11]第３表!$C$10:$C$66,0),7),[11]設定!$I32))</f>
        <v>159.19999999999999</v>
      </c>
      <c r="L56" s="55">
        <f>IF($D56="","",IF([11]設定!$I32="",INDEX([11]第３表!$F$10:$Q$66,MATCH([11]設定!$D32,[11]第３表!$C$10:$C$66,0),8),[11]設定!$I32))</f>
        <v>14.8</v>
      </c>
      <c r="M56" s="56">
        <f>IF($D56="","",IF([11]設定!$I32="",INDEX([11]第３表!$F$10:$Q$66,MATCH([11]設定!$D32,[11]第３表!$C$10:$C$66,0),9),[11]設定!$I32))</f>
        <v>21.4</v>
      </c>
      <c r="N56" s="56">
        <f>IF($D56="","",IF([11]設定!$I32="",INDEX([11]第３表!$F$10:$Q$66,MATCH([11]設定!$D32,[11]第３表!$C$10:$C$66,0),10),[11]設定!$I32))</f>
        <v>170.7</v>
      </c>
      <c r="O56" s="56">
        <f>IF($D56="","",IF([11]設定!$I32="",INDEX([11]第３表!$F$10:$Q$66,MATCH([11]設定!$D32,[11]第３表!$C$10:$C$66,0),11),[11]設定!$I32))</f>
        <v>160</v>
      </c>
      <c r="P56" s="57">
        <f>IF($D56="","",IF([11]設定!$I32="",INDEX([11]第３表!$F$10:$Q$66,MATCH([11]設定!$D32,[11]第３表!$C$10:$C$66,0),12),[11]設定!$I32))</f>
        <v>10.7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IF($D57="","",IF([11]設定!$I33="",INDEX([11]第３表!$F$10:$Q$66,MATCH([11]設定!$D33,[11]第３表!$C$10:$C$66,0),1),[11]設定!$I33))</f>
        <v>14.9</v>
      </c>
      <c r="F57" s="52">
        <f>IF($D57="","",IF([11]設定!$I33="",INDEX([11]第３表!$F$10:$Q$66,MATCH([11]設定!$D33,[11]第３表!$C$10:$C$66,0),2),[11]設定!$I33))</f>
        <v>100.5</v>
      </c>
      <c r="G57" s="52">
        <f>IF($D57="","",IF([11]設定!$I33="",INDEX([11]第３表!$F$10:$Q$66,MATCH([11]設定!$D33,[11]第３表!$C$10:$C$66,0),3),[11]設定!$I33))</f>
        <v>94.5</v>
      </c>
      <c r="H57" s="53">
        <f>IF($D57="","",IF([11]設定!$I33="",INDEX([11]第３表!$F$10:$Q$66,MATCH([11]設定!$D33,[11]第３表!$C$10:$C$66,0),4),[11]設定!$I33))</f>
        <v>6</v>
      </c>
      <c r="I57" s="54">
        <f>IF($D57="","",IF([11]設定!$I33="",INDEX([11]第３表!$F$10:$Q$66,MATCH([11]設定!$D33,[11]第３表!$C$10:$C$66,0),5),[11]設定!$I33))</f>
        <v>15.6</v>
      </c>
      <c r="J57" s="54">
        <f>IF($D57="","",IF([11]設定!$I33="",INDEX([11]第３表!$F$10:$Q$66,MATCH([11]設定!$D33,[11]第３表!$C$10:$C$66,0),6),[11]設定!$I33))</f>
        <v>117.3</v>
      </c>
      <c r="K57" s="54">
        <f>IF($D57="","",IF([11]設定!$I33="",INDEX([11]第３表!$F$10:$Q$66,MATCH([11]設定!$D33,[11]第３表!$C$10:$C$66,0),7),[11]設定!$I33))</f>
        <v>107.2</v>
      </c>
      <c r="L57" s="55">
        <f>IF($D57="","",IF([11]設定!$I33="",INDEX([11]第３表!$F$10:$Q$66,MATCH([11]設定!$D33,[11]第３表!$C$10:$C$66,0),8),[11]設定!$I33))</f>
        <v>10.1</v>
      </c>
      <c r="M57" s="56">
        <f>IF($D57="","",IF([11]設定!$I33="",INDEX([11]第３表!$F$10:$Q$66,MATCH([11]設定!$D33,[11]第３表!$C$10:$C$66,0),9),[11]設定!$I33))</f>
        <v>14.5</v>
      </c>
      <c r="N57" s="56">
        <f>IF($D57="","",IF([11]設定!$I33="",INDEX([11]第３表!$F$10:$Q$66,MATCH([11]設定!$D33,[11]第３表!$C$10:$C$66,0),10),[11]設定!$I33))</f>
        <v>89.8</v>
      </c>
      <c r="O57" s="56">
        <f>IF($D57="","",IF([11]設定!$I33="",INDEX([11]第３表!$F$10:$Q$66,MATCH([11]設定!$D33,[11]第３表!$C$10:$C$66,0),11),[11]設定!$I33))</f>
        <v>86.4</v>
      </c>
      <c r="P57" s="57">
        <f>IF($D57="","",IF([11]設定!$I33="",INDEX([11]第３表!$F$10:$Q$66,MATCH([11]設定!$D33,[11]第３表!$C$10:$C$66,0),12),[11]設定!$I33))</f>
        <v>3.4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f>IF($D58="","",IF([11]設定!$I34="",INDEX([11]第３表!$F$10:$Q$66,MATCH([11]設定!$D34,[11]第３表!$C$10:$C$66,0),1),[11]設定!$I34))</f>
        <v>17.600000000000001</v>
      </c>
      <c r="F58" s="52">
        <f>IF($D58="","",IF([11]設定!$I34="",INDEX([11]第３表!$F$10:$Q$66,MATCH([11]設定!$D34,[11]第３表!$C$10:$C$66,0),2),[11]設定!$I34))</f>
        <v>143.5</v>
      </c>
      <c r="G58" s="52">
        <f>IF($D58="","",IF([11]設定!$I34="",INDEX([11]第３表!$F$10:$Q$66,MATCH([11]設定!$D34,[11]第３表!$C$10:$C$66,0),3),[11]設定!$I34))</f>
        <v>133.69999999999999</v>
      </c>
      <c r="H58" s="53">
        <f>IF($D58="","",IF([11]設定!$I34="",INDEX([11]第３表!$F$10:$Q$66,MATCH([11]設定!$D34,[11]第３表!$C$10:$C$66,0),4),[11]設定!$I34))</f>
        <v>9.8000000000000007</v>
      </c>
      <c r="I58" s="54">
        <f>IF($D58="","",IF([11]設定!$I34="",INDEX([11]第３表!$F$10:$Q$66,MATCH([11]設定!$D34,[11]第３表!$C$10:$C$66,0),5),[11]設定!$I34))</f>
        <v>17.5</v>
      </c>
      <c r="J58" s="54">
        <f>IF($D58="","",IF([11]設定!$I34="",INDEX([11]第３表!$F$10:$Q$66,MATCH([11]設定!$D34,[11]第３表!$C$10:$C$66,0),6),[11]設定!$I34))</f>
        <v>147.80000000000001</v>
      </c>
      <c r="K58" s="54">
        <f>IF($D58="","",IF([11]設定!$I34="",INDEX([11]第３表!$F$10:$Q$66,MATCH([11]設定!$D34,[11]第３表!$C$10:$C$66,0),7),[11]設定!$I34))</f>
        <v>135.80000000000001</v>
      </c>
      <c r="L58" s="55">
        <f>IF($D58="","",IF([11]設定!$I34="",INDEX([11]第３表!$F$10:$Q$66,MATCH([11]設定!$D34,[11]第３表!$C$10:$C$66,0),8),[11]設定!$I34))</f>
        <v>12</v>
      </c>
      <c r="M58" s="56">
        <f>IF($D58="","",IF([11]設定!$I34="",INDEX([11]第３表!$F$10:$Q$66,MATCH([11]設定!$D34,[11]第３表!$C$10:$C$66,0),9),[11]設定!$I34))</f>
        <v>17.8</v>
      </c>
      <c r="N58" s="56">
        <f>IF($D58="","",IF([11]設定!$I34="",INDEX([11]第３表!$F$10:$Q$66,MATCH([11]設定!$D34,[11]第３表!$C$10:$C$66,0),10),[11]設定!$I34))</f>
        <v>136.5</v>
      </c>
      <c r="O58" s="56">
        <f>IF($D58="","",IF([11]設定!$I34="",INDEX([11]第３表!$F$10:$Q$66,MATCH([11]設定!$D34,[11]第３表!$C$10:$C$66,0),11),[11]設定!$I34))</f>
        <v>130.4</v>
      </c>
      <c r="P58" s="57">
        <f>IF($D58="","",IF([11]設定!$I34="",INDEX([11]第３表!$F$10:$Q$66,MATCH([11]設定!$D34,[11]第３表!$C$10:$C$66,0),12),[11]設定!$I34))</f>
        <v>6.1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IF($D59="","",IF([11]設定!$I35="",INDEX([11]第３表!$F$10:$Q$66,MATCH([11]設定!$D35,[11]第３表!$C$10:$C$66,0),1),[11]設定!$I35))</f>
        <v>20.2</v>
      </c>
      <c r="F59" s="52">
        <f>IF($D59="","",IF([11]設定!$I35="",INDEX([11]第３表!$F$10:$Q$66,MATCH([11]設定!$D35,[11]第３表!$C$10:$C$66,0),2),[11]設定!$I35))</f>
        <v>180</v>
      </c>
      <c r="G59" s="52">
        <f>IF($D59="","",IF([11]設定!$I35="",INDEX([11]第３表!$F$10:$Q$66,MATCH([11]設定!$D35,[11]第３表!$C$10:$C$66,0),3),[11]設定!$I35))</f>
        <v>148.1</v>
      </c>
      <c r="H59" s="53">
        <f>IF($D59="","",IF([11]設定!$I35="",INDEX([11]第３表!$F$10:$Q$66,MATCH([11]設定!$D35,[11]第３表!$C$10:$C$66,0),4),[11]設定!$I35))</f>
        <v>31.9</v>
      </c>
      <c r="I59" s="54">
        <f>IF($D59="","",IF([11]設定!$I35="",INDEX([11]第３表!$F$10:$Q$66,MATCH([11]設定!$D35,[11]第３表!$C$10:$C$66,0),5),[11]設定!$I35))</f>
        <v>20.5</v>
      </c>
      <c r="J59" s="54">
        <f>IF($D59="","",IF([11]設定!$I35="",INDEX([11]第３表!$F$10:$Q$66,MATCH([11]設定!$D35,[11]第３表!$C$10:$C$66,0),6),[11]設定!$I35))</f>
        <v>191.4</v>
      </c>
      <c r="K59" s="54">
        <f>IF($D59="","",IF([11]設定!$I35="",INDEX([11]第３表!$F$10:$Q$66,MATCH([11]設定!$D35,[11]第３表!$C$10:$C$66,0),7),[11]設定!$I35))</f>
        <v>152.5</v>
      </c>
      <c r="L59" s="55">
        <f>IF($D59="","",IF([11]設定!$I35="",INDEX([11]第３表!$F$10:$Q$66,MATCH([11]設定!$D35,[11]第３表!$C$10:$C$66,0),8),[11]設定!$I35))</f>
        <v>38.9</v>
      </c>
      <c r="M59" s="56">
        <f>IF($D59="","",IF([11]設定!$I35="",INDEX([11]第３表!$F$10:$Q$66,MATCH([11]設定!$D35,[11]第３表!$C$10:$C$66,0),9),[11]設定!$I35))</f>
        <v>20</v>
      </c>
      <c r="N59" s="56">
        <f>IF($D59="","",IF([11]設定!$I35="",INDEX([11]第３表!$F$10:$Q$66,MATCH([11]設定!$D35,[11]第３表!$C$10:$C$66,0),10),[11]設定!$I35))</f>
        <v>169.4</v>
      </c>
      <c r="O59" s="56">
        <f>IF($D59="","",IF([11]設定!$I35="",INDEX([11]第３表!$F$10:$Q$66,MATCH([11]設定!$D35,[11]第３表!$C$10:$C$66,0),11),[11]設定!$I35))</f>
        <v>143.9</v>
      </c>
      <c r="P59" s="57">
        <f>IF($D59="","",IF([11]設定!$I35="",INDEX([11]第３表!$F$10:$Q$66,MATCH([11]設定!$D35,[11]第３表!$C$10:$C$66,0),12),[11]設定!$I35))</f>
        <v>25.5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IF($D60="","",IF([11]設定!$I36="",INDEX([11]第３表!$F$10:$Q$66,MATCH([11]設定!$D36,[11]第３表!$C$10:$C$66,0),1),[11]設定!$I36))</f>
        <v>19.600000000000001</v>
      </c>
      <c r="F60" s="52">
        <f>IF($D60="","",IF([11]設定!$I36="",INDEX([11]第３表!$F$10:$Q$66,MATCH([11]設定!$D36,[11]第３表!$C$10:$C$66,0),2),[11]設定!$I36))</f>
        <v>145.5</v>
      </c>
      <c r="G60" s="52">
        <f>IF($D60="","",IF([11]設定!$I36="",INDEX([11]第３表!$F$10:$Q$66,MATCH([11]設定!$D36,[11]第３表!$C$10:$C$66,0),3),[11]設定!$I36))</f>
        <v>141.6</v>
      </c>
      <c r="H60" s="53">
        <f>IF($D60="","",IF([11]設定!$I36="",INDEX([11]第３表!$F$10:$Q$66,MATCH([11]設定!$D36,[11]第３表!$C$10:$C$66,0),4),[11]設定!$I36))</f>
        <v>3.9</v>
      </c>
      <c r="I60" s="54">
        <f>IF($D60="","",IF([11]設定!$I36="",INDEX([11]第３表!$F$10:$Q$66,MATCH([11]設定!$D36,[11]第３表!$C$10:$C$66,0),5),[11]設定!$I36))</f>
        <v>19.899999999999999</v>
      </c>
      <c r="J60" s="54">
        <f>IF($D60="","",IF([11]設定!$I36="",INDEX([11]第３表!$F$10:$Q$66,MATCH([11]設定!$D36,[11]第３表!$C$10:$C$66,0),6),[11]設定!$I36))</f>
        <v>154.30000000000001</v>
      </c>
      <c r="K60" s="54">
        <f>IF($D60="","",IF([11]設定!$I36="",INDEX([11]第３表!$F$10:$Q$66,MATCH([11]設定!$D36,[11]第３表!$C$10:$C$66,0),7),[11]設定!$I36))</f>
        <v>148.9</v>
      </c>
      <c r="L60" s="55">
        <f>IF($D60="","",IF([11]設定!$I36="",INDEX([11]第３表!$F$10:$Q$66,MATCH([11]設定!$D36,[11]第３表!$C$10:$C$66,0),8),[11]設定!$I36))</f>
        <v>5.4</v>
      </c>
      <c r="M60" s="56">
        <f>IF($D60="","",IF([11]設定!$I36="",INDEX([11]第３表!$F$10:$Q$66,MATCH([11]設定!$D36,[11]第３表!$C$10:$C$66,0),9),[11]設定!$I36))</f>
        <v>19.399999999999999</v>
      </c>
      <c r="N60" s="56">
        <f>IF($D60="","",IF([11]設定!$I36="",INDEX([11]第３表!$F$10:$Q$66,MATCH([11]設定!$D36,[11]第３表!$C$10:$C$66,0),10),[11]設定!$I36))</f>
        <v>142.30000000000001</v>
      </c>
      <c r="O60" s="56">
        <f>IF($D60="","",IF([11]設定!$I36="",INDEX([11]第３表!$F$10:$Q$66,MATCH([11]設定!$D36,[11]第３表!$C$10:$C$66,0),11),[11]設定!$I36))</f>
        <v>138.9</v>
      </c>
      <c r="P60" s="57">
        <f>IF($D60="","",IF([11]設定!$I36="",INDEX([11]第３表!$F$10:$Q$66,MATCH([11]設定!$D36,[11]第３表!$C$10:$C$66,0),12),[11]設定!$I36))</f>
        <v>3.4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IF($D61="","",IF([11]設定!$I37="",INDEX([11]第３表!$F$10:$Q$66,MATCH([11]設定!$D37,[11]第３表!$C$10:$C$66,0),1),[11]設定!$I37))</f>
        <v>19.899999999999999</v>
      </c>
      <c r="F61" s="52">
        <f>IF($D61="","",IF([11]設定!$I37="",INDEX([11]第３表!$F$10:$Q$66,MATCH([11]設定!$D37,[11]第３表!$C$10:$C$66,0),2),[11]設定!$I37))</f>
        <v>160.30000000000001</v>
      </c>
      <c r="G61" s="52">
        <f>IF($D61="","",IF([11]設定!$I37="",INDEX([11]第３表!$F$10:$Q$66,MATCH([11]設定!$D37,[11]第３表!$C$10:$C$66,0),3),[11]設定!$I37))</f>
        <v>154.1</v>
      </c>
      <c r="H61" s="53">
        <f>IF($D61="","",IF([11]設定!$I37="",INDEX([11]第３表!$F$10:$Q$66,MATCH([11]設定!$D37,[11]第３表!$C$10:$C$66,0),4),[11]設定!$I37))</f>
        <v>6.2</v>
      </c>
      <c r="I61" s="54">
        <f>IF($D61="","",IF([11]設定!$I37="",INDEX([11]第３表!$F$10:$Q$66,MATCH([11]設定!$D37,[11]第３表!$C$10:$C$66,0),5),[11]設定!$I37))</f>
        <v>20.2</v>
      </c>
      <c r="J61" s="54">
        <f>IF($D61="","",IF([11]設定!$I37="",INDEX([11]第３表!$F$10:$Q$66,MATCH([11]設定!$D37,[11]第３表!$C$10:$C$66,0),6),[11]設定!$I37))</f>
        <v>164.9</v>
      </c>
      <c r="K61" s="54">
        <f>IF($D61="","",IF([11]設定!$I37="",INDEX([11]第３表!$F$10:$Q$66,MATCH([11]設定!$D37,[11]第３表!$C$10:$C$66,0),7),[11]設定!$I37))</f>
        <v>159.4</v>
      </c>
      <c r="L61" s="55">
        <f>IF($D61="","",IF([11]設定!$I37="",INDEX([11]第３表!$F$10:$Q$66,MATCH([11]設定!$D37,[11]第３表!$C$10:$C$66,0),8),[11]設定!$I37))</f>
        <v>5.5</v>
      </c>
      <c r="M61" s="56">
        <f>IF($D61="","",IF([11]設定!$I37="",INDEX([11]第３表!$F$10:$Q$66,MATCH([11]設定!$D37,[11]第３表!$C$10:$C$66,0),9),[11]設定!$I37))</f>
        <v>19.399999999999999</v>
      </c>
      <c r="N61" s="56">
        <f>IF($D61="","",IF([11]設定!$I37="",INDEX([11]第３表!$F$10:$Q$66,MATCH([11]設定!$D37,[11]第３表!$C$10:$C$66,0),10),[11]設定!$I37))</f>
        <v>152.69999999999999</v>
      </c>
      <c r="O61" s="56">
        <f>IF($D61="","",IF([11]設定!$I37="",INDEX([11]第３表!$F$10:$Q$66,MATCH([11]設定!$D37,[11]第３表!$C$10:$C$66,0),11),[11]設定!$I37))</f>
        <v>145.5</v>
      </c>
      <c r="P61" s="57">
        <f>IF($D61="","",IF([11]設定!$I37="",INDEX([11]第３表!$F$10:$Q$66,MATCH([11]設定!$D37,[11]第３表!$C$10:$C$66,0),12),[11]設定!$I37))</f>
        <v>7.2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IF($D62="","",IF([11]設定!$I38="",INDEX([11]第３表!$F$10:$Q$66,MATCH([11]設定!$D38,[11]第３表!$C$10:$C$66,0),1),[11]設定!$I38))</f>
        <v>19</v>
      </c>
      <c r="F62" s="52">
        <f>IF($D62="","",IF([11]設定!$I38="",INDEX([11]第３表!$F$10:$Q$66,MATCH([11]設定!$D38,[11]第３表!$C$10:$C$66,0),2),[11]設定!$I38))</f>
        <v>141.19999999999999</v>
      </c>
      <c r="G62" s="52">
        <f>IF($D62="","",IF([11]設定!$I38="",INDEX([11]第３表!$F$10:$Q$66,MATCH([11]設定!$D38,[11]第３表!$C$10:$C$66,0),3),[11]設定!$I38))</f>
        <v>132.6</v>
      </c>
      <c r="H62" s="53">
        <f>IF($D62="","",IF([11]設定!$I38="",INDEX([11]第３表!$F$10:$Q$66,MATCH([11]設定!$D38,[11]第３表!$C$10:$C$66,0),4),[11]設定!$I38))</f>
        <v>8.6</v>
      </c>
      <c r="I62" s="54">
        <f>IF($D62="","",IF([11]設定!$I38="",INDEX([11]第３表!$F$10:$Q$66,MATCH([11]設定!$D38,[11]第３表!$C$10:$C$66,0),5),[11]設定!$I38))</f>
        <v>19.2</v>
      </c>
      <c r="J62" s="54">
        <f>IF($D62="","",IF([11]設定!$I38="",INDEX([11]第３表!$F$10:$Q$66,MATCH([11]設定!$D38,[11]第３表!$C$10:$C$66,0),6),[11]設定!$I38))</f>
        <v>157.5</v>
      </c>
      <c r="K62" s="54">
        <f>IF($D62="","",IF([11]設定!$I38="",INDEX([11]第３表!$F$10:$Q$66,MATCH([11]設定!$D38,[11]第３表!$C$10:$C$66,0),7),[11]設定!$I38))</f>
        <v>145</v>
      </c>
      <c r="L62" s="55">
        <f>IF($D62="","",IF([11]設定!$I38="",INDEX([11]第３表!$F$10:$Q$66,MATCH([11]設定!$D38,[11]第３表!$C$10:$C$66,0),8),[11]設定!$I38))</f>
        <v>12.5</v>
      </c>
      <c r="M62" s="56">
        <f>IF($D62="","",IF([11]設定!$I38="",INDEX([11]第３表!$F$10:$Q$66,MATCH([11]設定!$D38,[11]第３表!$C$10:$C$66,0),9),[11]設定!$I38))</f>
        <v>18.899999999999999</v>
      </c>
      <c r="N62" s="56">
        <f>IF($D62="","",IF([11]設定!$I38="",INDEX([11]第３表!$F$10:$Q$66,MATCH([11]設定!$D38,[11]第３表!$C$10:$C$66,0),10),[11]設定!$I38))</f>
        <v>123.9</v>
      </c>
      <c r="O62" s="56">
        <f>IF($D62="","",IF([11]設定!$I38="",INDEX([11]第３表!$F$10:$Q$66,MATCH([11]設定!$D38,[11]第３表!$C$10:$C$66,0),11),[11]設定!$I38))</f>
        <v>119.4</v>
      </c>
      <c r="P62" s="57">
        <f>IF($D62="","",IF([11]設定!$I38="",INDEX([11]第３表!$F$10:$Q$66,MATCH([11]設定!$D38,[11]第３表!$C$10:$C$66,0),12),[11]設定!$I38))</f>
        <v>4.5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IF($D63="","",IF([11]設定!$I39="",INDEX([11]第３表!$F$10:$Q$66,MATCH([11]設定!$D39,[11]第３表!$C$10:$C$66,0),1),[11]設定!$I39))</f>
        <v>20.100000000000001</v>
      </c>
      <c r="F63" s="48">
        <f>IF($D63="","",IF([11]設定!$I39="",INDEX([11]第３表!$F$10:$Q$66,MATCH([11]設定!$D39,[11]第３表!$C$10:$C$66,0),2),[11]設定!$I39))</f>
        <v>158.9</v>
      </c>
      <c r="G63" s="48">
        <f>IF($D63="","",IF([11]設定!$I39="",INDEX([11]第３表!$F$10:$Q$66,MATCH([11]設定!$D39,[11]第３表!$C$10:$C$66,0),3),[11]設定!$I39))</f>
        <v>149.1</v>
      </c>
      <c r="H63" s="64">
        <f>IF($D63="","",IF([11]設定!$I39="",INDEX([11]第３表!$F$10:$Q$66,MATCH([11]設定!$D39,[11]第３表!$C$10:$C$66,0),4),[11]設定!$I39))</f>
        <v>9.8000000000000007</v>
      </c>
      <c r="I63" s="48">
        <f>IF($D63="","",IF([11]設定!$I39="",INDEX([11]第３表!$F$10:$Q$66,MATCH([11]設定!$D39,[11]第３表!$C$10:$C$66,0),5),[11]設定!$I39))</f>
        <v>20.6</v>
      </c>
      <c r="J63" s="48">
        <f>IF($D63="","",IF([11]設定!$I39="",INDEX([11]第３表!$F$10:$Q$66,MATCH([11]設定!$D39,[11]第３表!$C$10:$C$66,0),6),[11]設定!$I39))</f>
        <v>172.1</v>
      </c>
      <c r="K63" s="48">
        <f>IF($D63="","",IF([11]設定!$I39="",INDEX([11]第３表!$F$10:$Q$66,MATCH([11]設定!$D39,[11]第３表!$C$10:$C$66,0),7),[11]設定!$I39))</f>
        <v>158.80000000000001</v>
      </c>
      <c r="L63" s="64">
        <f>IF($D63="","",IF([11]設定!$I39="",INDEX([11]第３表!$F$10:$Q$66,MATCH([11]設定!$D39,[11]第３表!$C$10:$C$66,0),8),[11]設定!$I39))</f>
        <v>13.3</v>
      </c>
      <c r="M63" s="48">
        <f>IF($D63="","",IF([11]設定!$I39="",INDEX([11]第３表!$F$10:$Q$66,MATCH([11]設定!$D39,[11]第３表!$C$10:$C$66,0),9),[11]設定!$I39))</f>
        <v>19.600000000000001</v>
      </c>
      <c r="N63" s="48">
        <f>IF($D63="","",IF([11]設定!$I39="",INDEX([11]第３表!$F$10:$Q$66,MATCH([11]設定!$D39,[11]第３表!$C$10:$C$66,0),10),[11]設定!$I39))</f>
        <v>146.69999999999999</v>
      </c>
      <c r="O63" s="48">
        <f>IF($D63="","",IF([11]設定!$I39="",INDEX([11]第３表!$F$10:$Q$66,MATCH([11]設定!$D39,[11]第３表!$C$10:$C$66,0),11),[11]設定!$I39))</f>
        <v>140.19999999999999</v>
      </c>
      <c r="P63" s="64">
        <f>IF($D63="","",IF([11]設定!$I39="",INDEX([11]第３表!$F$10:$Q$66,MATCH([11]設定!$D39,[11]第３表!$C$10:$C$66,0),12),[11]設定!$I39))</f>
        <v>6.5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IF($D64="","",IF([11]設定!$I40="",INDEX([11]第３表!$F$10:$Q$66,MATCH([11]設定!$D40,[11]第３表!$C$10:$C$66,0),1),[11]設定!$I40))</f>
        <v>20.3</v>
      </c>
      <c r="F64" s="52">
        <f>IF($D64="","",IF([11]設定!$I40="",INDEX([11]第３表!$F$10:$Q$66,MATCH([11]設定!$D40,[11]第３表!$C$10:$C$66,0),2),[11]設定!$I40))</f>
        <v>167.1</v>
      </c>
      <c r="G64" s="52">
        <f>IF($D64="","",IF([11]設定!$I40="",INDEX([11]第３表!$F$10:$Q$66,MATCH([11]設定!$D40,[11]第３表!$C$10:$C$66,0),3),[11]設定!$I40))</f>
        <v>153.30000000000001</v>
      </c>
      <c r="H64" s="55">
        <f>IF($D64="","",IF([11]設定!$I40="",INDEX([11]第３表!$F$10:$Q$66,MATCH([11]設定!$D40,[11]第３表!$C$10:$C$66,0),4),[11]設定!$I40))</f>
        <v>13.8</v>
      </c>
      <c r="I64" s="52">
        <f>IF($D64="","",IF([11]設定!$I40="",INDEX([11]第３表!$F$10:$Q$66,MATCH([11]設定!$D40,[11]第３表!$C$10:$C$66,0),5),[11]設定!$I40))</f>
        <v>20.5</v>
      </c>
      <c r="J64" s="52">
        <f>IF($D64="","",IF([11]設定!$I40="",INDEX([11]第３表!$F$10:$Q$66,MATCH([11]設定!$D40,[11]第３表!$C$10:$C$66,0),6),[11]設定!$I40))</f>
        <v>167.3</v>
      </c>
      <c r="K64" s="52">
        <f>IF($D64="","",IF([11]設定!$I40="",INDEX([11]第３表!$F$10:$Q$66,MATCH([11]設定!$D40,[11]第３表!$C$10:$C$66,0),7),[11]設定!$I40))</f>
        <v>152</v>
      </c>
      <c r="L64" s="55">
        <f>IF($D64="","",IF([11]設定!$I40="",INDEX([11]第３表!$F$10:$Q$66,MATCH([11]設定!$D40,[11]第３表!$C$10:$C$66,0),8),[11]設定!$I40))</f>
        <v>15.3</v>
      </c>
      <c r="M64" s="52">
        <f>IF($D64="","",IF([11]設定!$I40="",INDEX([11]第３表!$F$10:$Q$66,MATCH([11]設定!$D40,[11]第３表!$C$10:$C$66,0),9),[11]設定!$I40))</f>
        <v>20.100000000000001</v>
      </c>
      <c r="N64" s="52">
        <f>IF($D64="","",IF([11]設定!$I40="",INDEX([11]第３表!$F$10:$Q$66,MATCH([11]設定!$D40,[11]第３表!$C$10:$C$66,0),10),[11]設定!$I40))</f>
        <v>166.9</v>
      </c>
      <c r="O64" s="52">
        <f>IF($D64="","",IF([11]設定!$I40="",INDEX([11]第３表!$F$10:$Q$66,MATCH([11]設定!$D40,[11]第３表!$C$10:$C$66,0),11),[11]設定!$I40))</f>
        <v>154.5</v>
      </c>
      <c r="P64" s="55">
        <f>IF($D64="","",IF([11]設定!$I40="",INDEX([11]第３表!$F$10:$Q$66,MATCH([11]設定!$D40,[11]第３表!$C$10:$C$66,0),12),[11]設定!$I40))</f>
        <v>12.4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IF($D65="","",IF([11]設定!$I41="",INDEX([11]第３表!$F$10:$Q$66,MATCH([11]設定!$D41,[11]第３表!$C$10:$C$66,0),1),[11]設定!$I41))</f>
        <v>20</v>
      </c>
      <c r="F65" s="52">
        <f>IF($D65="","",IF([11]設定!$I41="",INDEX([11]第３表!$F$10:$Q$66,MATCH([11]設定!$D41,[11]第３表!$C$10:$C$66,0),2),[11]設定!$I41))</f>
        <v>159.80000000000001</v>
      </c>
      <c r="G65" s="52">
        <f>IF($D65="","",IF([11]設定!$I41="",INDEX([11]第３表!$F$10:$Q$66,MATCH([11]設定!$D41,[11]第３表!$C$10:$C$66,0),3),[11]設定!$I41))</f>
        <v>150</v>
      </c>
      <c r="H65" s="55">
        <f>IF($D65="","",IF([11]設定!$I41="",INDEX([11]第３表!$F$10:$Q$66,MATCH([11]設定!$D41,[11]第３表!$C$10:$C$66,0),4),[11]設定!$I41))</f>
        <v>9.8000000000000007</v>
      </c>
      <c r="I65" s="52">
        <f>IF($D65="","",IF([11]設定!$I41="",INDEX([11]第３表!$F$10:$Q$66,MATCH([11]設定!$D41,[11]第３表!$C$10:$C$66,0),5),[11]設定!$I41))</f>
        <v>19.8</v>
      </c>
      <c r="J65" s="52">
        <f>IF($D65="","",IF([11]設定!$I41="",INDEX([11]第３表!$F$10:$Q$66,MATCH([11]設定!$D41,[11]第３表!$C$10:$C$66,0),6),[11]設定!$I41))</f>
        <v>164.1</v>
      </c>
      <c r="K65" s="52">
        <f>IF($D65="","",IF([11]設定!$I41="",INDEX([11]第３表!$F$10:$Q$66,MATCH([11]設定!$D41,[11]第３表!$C$10:$C$66,0),7),[11]設定!$I41))</f>
        <v>152.5</v>
      </c>
      <c r="L65" s="55">
        <f>IF($D65="","",IF([11]設定!$I41="",INDEX([11]第３表!$F$10:$Q$66,MATCH([11]設定!$D41,[11]第３表!$C$10:$C$66,0),8),[11]設定!$I41))</f>
        <v>11.6</v>
      </c>
      <c r="M65" s="52">
        <f>IF($D65="","",IF([11]設定!$I41="",INDEX([11]第３表!$F$10:$Q$66,MATCH([11]設定!$D41,[11]第３表!$C$10:$C$66,0),9),[11]設定!$I41))</f>
        <v>20.9</v>
      </c>
      <c r="N65" s="52">
        <f>IF($D65="","",IF([11]設定!$I41="",INDEX([11]第３表!$F$10:$Q$66,MATCH([11]設定!$D41,[11]第３表!$C$10:$C$66,0),10),[11]設定!$I41))</f>
        <v>140.6</v>
      </c>
      <c r="O65" s="52">
        <f>IF($D65="","",IF([11]設定!$I41="",INDEX([11]第３表!$F$10:$Q$66,MATCH([11]設定!$D41,[11]第３表!$C$10:$C$66,0),11),[11]設定!$I41))</f>
        <v>138.69999999999999</v>
      </c>
      <c r="P65" s="55">
        <f>IF($D65="","",IF([11]設定!$I41="",INDEX([11]第３表!$F$10:$Q$66,MATCH([11]設定!$D41,[11]第３表!$C$10:$C$66,0),12),[11]設定!$I41))</f>
        <v>1.9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IF($D66="","",IF([11]設定!$I42="",INDEX([11]第３表!$F$10:$Q$66,MATCH([11]設定!$D42,[11]第３表!$C$10:$C$66,0),1),[11]設定!$I42))</f>
        <v>x</v>
      </c>
      <c r="F66" s="52" t="str">
        <f>IF($D66="","",IF([11]設定!$I42="",INDEX([11]第３表!$F$10:$Q$66,MATCH([11]設定!$D42,[11]第３表!$C$10:$C$66,0),2),[11]設定!$I42))</f>
        <v>x</v>
      </c>
      <c r="G66" s="52" t="str">
        <f>IF($D66="","",IF([11]設定!$I42="",INDEX([11]第３表!$F$10:$Q$66,MATCH([11]設定!$D42,[11]第３表!$C$10:$C$66,0),3),[11]設定!$I42))</f>
        <v>x</v>
      </c>
      <c r="H66" s="55" t="str">
        <f>IF($D66="","",IF([11]設定!$I42="",INDEX([11]第３表!$F$10:$Q$66,MATCH([11]設定!$D42,[11]第３表!$C$10:$C$66,0),4),[11]設定!$I42))</f>
        <v>x</v>
      </c>
      <c r="I66" s="52" t="str">
        <f>IF($D66="","",IF([11]設定!$I42="",INDEX([11]第３表!$F$10:$Q$66,MATCH([11]設定!$D42,[11]第３表!$C$10:$C$66,0),5),[11]設定!$I42))</f>
        <v>x</v>
      </c>
      <c r="J66" s="52" t="str">
        <f>IF($D66="","",IF([11]設定!$I42="",INDEX([11]第３表!$F$10:$Q$66,MATCH([11]設定!$D42,[11]第３表!$C$10:$C$66,0),6),[11]設定!$I42))</f>
        <v>x</v>
      </c>
      <c r="K66" s="52" t="str">
        <f>IF($D66="","",IF([11]設定!$I42="",INDEX([11]第３表!$F$10:$Q$66,MATCH([11]設定!$D42,[11]第３表!$C$10:$C$66,0),7),[11]設定!$I42))</f>
        <v>x</v>
      </c>
      <c r="L66" s="55" t="str">
        <f>IF($D66="","",IF([11]設定!$I42="",INDEX([11]第３表!$F$10:$Q$66,MATCH([11]設定!$D42,[11]第３表!$C$10:$C$66,0),8),[11]設定!$I42))</f>
        <v>x</v>
      </c>
      <c r="M66" s="52" t="str">
        <f>IF($D66="","",IF([11]設定!$I42="",INDEX([11]第３表!$F$10:$Q$66,MATCH([11]設定!$D42,[11]第３表!$C$10:$C$66,0),9),[11]設定!$I42))</f>
        <v>x</v>
      </c>
      <c r="N66" s="52" t="str">
        <f>IF($D66="","",IF([11]設定!$I42="",INDEX([11]第３表!$F$10:$Q$66,MATCH([11]設定!$D42,[11]第３表!$C$10:$C$66,0),10),[11]設定!$I42))</f>
        <v>x</v>
      </c>
      <c r="O66" s="52" t="str">
        <f>IF($D66="","",IF([11]設定!$I42="",INDEX([11]第３表!$F$10:$Q$66,MATCH([11]設定!$D42,[11]第３表!$C$10:$C$66,0),11),[11]設定!$I42))</f>
        <v>x</v>
      </c>
      <c r="P66" s="55" t="str">
        <f>IF($D66="","",IF([11]設定!$I42="",INDEX([11]第３表!$F$10:$Q$66,MATCH([11]設定!$D42,[11]第３表!$C$10:$C$66,0),12),[11]設定!$I42))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>
        <f>IF($D67="","",IF([11]設定!$I43="",INDEX([11]第３表!$F$10:$Q$66,MATCH([11]設定!$D43,[11]第３表!$C$10:$C$66,0),1),[11]設定!$I43))</f>
        <v>18.8</v>
      </c>
      <c r="F67" s="52">
        <f>IF($D67="","",IF([11]設定!$I43="",INDEX([11]第３表!$F$10:$Q$66,MATCH([11]設定!$D43,[11]第３表!$C$10:$C$66,0),2),[11]設定!$I43))</f>
        <v>133.19999999999999</v>
      </c>
      <c r="G67" s="52">
        <f>IF($D67="","",IF([11]設定!$I43="",INDEX([11]第３表!$F$10:$Q$66,MATCH([11]設定!$D43,[11]第３表!$C$10:$C$66,0),3),[11]設定!$I43))</f>
        <v>124.9</v>
      </c>
      <c r="H67" s="55">
        <f>IF($D67="","",IF([11]設定!$I43="",INDEX([11]第３表!$F$10:$Q$66,MATCH([11]設定!$D43,[11]第３表!$C$10:$C$66,0),4),[11]設定!$I43))</f>
        <v>8.3000000000000007</v>
      </c>
      <c r="I67" s="52">
        <f>IF($D67="","",IF([11]設定!$I43="",INDEX([11]第３表!$F$10:$Q$66,MATCH([11]設定!$D43,[11]第３表!$C$10:$C$66,0),5),[11]設定!$I43))</f>
        <v>19.3</v>
      </c>
      <c r="J67" s="52">
        <f>IF($D67="","",IF([11]設定!$I43="",INDEX([11]第３表!$F$10:$Q$66,MATCH([11]設定!$D43,[11]第３表!$C$10:$C$66,0),6),[11]設定!$I43))</f>
        <v>142.19999999999999</v>
      </c>
      <c r="K67" s="52">
        <f>IF($D67="","",IF([11]設定!$I43="",INDEX([11]第３表!$F$10:$Q$66,MATCH([11]設定!$D43,[11]第３表!$C$10:$C$66,0),7),[11]設定!$I43))</f>
        <v>131.80000000000001</v>
      </c>
      <c r="L67" s="55">
        <f>IF($D67="","",IF([11]設定!$I43="",INDEX([11]第３表!$F$10:$Q$66,MATCH([11]設定!$D43,[11]第３表!$C$10:$C$66,0),8),[11]設定!$I43))</f>
        <v>10.4</v>
      </c>
      <c r="M67" s="52">
        <f>IF($D67="","",IF([11]設定!$I43="",INDEX([11]第３表!$F$10:$Q$66,MATCH([11]設定!$D43,[11]第３表!$C$10:$C$66,0),9),[11]設定!$I43))</f>
        <v>17.399999999999999</v>
      </c>
      <c r="N67" s="52">
        <f>IF($D67="","",IF([11]設定!$I43="",INDEX([11]第３表!$F$10:$Q$66,MATCH([11]設定!$D43,[11]第３表!$C$10:$C$66,0),10),[11]設定!$I43))</f>
        <v>110.8</v>
      </c>
      <c r="O67" s="52">
        <f>IF($D67="","",IF([11]設定!$I43="",INDEX([11]第３表!$F$10:$Q$66,MATCH([11]設定!$D43,[11]第３表!$C$10:$C$66,0),11),[11]設定!$I43))</f>
        <v>107.6</v>
      </c>
      <c r="P67" s="55">
        <f>IF($D67="","",IF([11]設定!$I43="",INDEX([11]第３表!$F$10:$Q$66,MATCH([11]設定!$D43,[11]第３表!$C$10:$C$66,0),12),[11]設定!$I43))</f>
        <v>3.2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IF($D68="","",IF([11]設定!$I44="",INDEX([11]第３表!$F$10:$Q$66,MATCH([11]設定!$D44,[11]第３表!$C$10:$C$66,0),1),[11]設定!$I44))</f>
        <v>21</v>
      </c>
      <c r="F68" s="52">
        <f>IF($D68="","",IF([11]設定!$I44="",INDEX([11]第３表!$F$10:$Q$66,MATCH([11]設定!$D44,[11]第３表!$C$10:$C$66,0),2),[11]設定!$I44))</f>
        <v>170.7</v>
      </c>
      <c r="G68" s="52">
        <f>IF($D68="","",IF([11]設定!$I44="",INDEX([11]第３表!$F$10:$Q$66,MATCH([11]設定!$D44,[11]第３表!$C$10:$C$66,0),3),[11]設定!$I44))</f>
        <v>153.5</v>
      </c>
      <c r="H68" s="55">
        <f>IF($D68="","",IF([11]設定!$I44="",INDEX([11]第３表!$F$10:$Q$66,MATCH([11]設定!$D44,[11]第３表!$C$10:$C$66,0),4),[11]設定!$I44))</f>
        <v>17.2</v>
      </c>
      <c r="I68" s="52">
        <f>IF($D68="","",IF([11]設定!$I44="",INDEX([11]第３表!$F$10:$Q$66,MATCH([11]設定!$D44,[11]第３表!$C$10:$C$66,0),5),[11]設定!$I44))</f>
        <v>20.9</v>
      </c>
      <c r="J68" s="52">
        <f>IF($D68="","",IF([11]設定!$I44="",INDEX([11]第３表!$F$10:$Q$66,MATCH([11]設定!$D44,[11]第３表!$C$10:$C$66,0),6),[11]設定!$I44))</f>
        <v>171.2</v>
      </c>
      <c r="K68" s="52">
        <f>IF($D68="","",IF([11]設定!$I44="",INDEX([11]第３表!$F$10:$Q$66,MATCH([11]設定!$D44,[11]第３表!$C$10:$C$66,0),7),[11]設定!$I44))</f>
        <v>153.1</v>
      </c>
      <c r="L68" s="55">
        <f>IF($D68="","",IF([11]設定!$I44="",INDEX([11]第３表!$F$10:$Q$66,MATCH([11]設定!$D44,[11]第３表!$C$10:$C$66,0),8),[11]設定!$I44))</f>
        <v>18.100000000000001</v>
      </c>
      <c r="M68" s="52">
        <f>IF($D68="","",IF([11]設定!$I44="",INDEX([11]第３表!$F$10:$Q$66,MATCH([11]設定!$D44,[11]第３表!$C$10:$C$66,0),9),[11]設定!$I44))</f>
        <v>21.3</v>
      </c>
      <c r="N68" s="52">
        <f>IF($D68="","",IF([11]設定!$I44="",INDEX([11]第３表!$F$10:$Q$66,MATCH([11]設定!$D44,[11]第３表!$C$10:$C$66,0),10),[11]設定!$I44))</f>
        <v>164.8</v>
      </c>
      <c r="O68" s="52">
        <f>IF($D68="","",IF([11]設定!$I44="",INDEX([11]第３表!$F$10:$Q$66,MATCH([11]設定!$D44,[11]第３表!$C$10:$C$66,0),11),[11]設定!$I44))</f>
        <v>158.80000000000001</v>
      </c>
      <c r="P68" s="55">
        <f>IF($D68="","",IF([11]設定!$I44="",INDEX([11]第３表!$F$10:$Q$66,MATCH([11]設定!$D44,[11]第３表!$C$10:$C$66,0),12),[11]設定!$I44))</f>
        <v>6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IF($D69="","",IF([11]設定!$I45="",INDEX([11]第３表!$F$10:$Q$66,MATCH([11]設定!$D45,[11]第３表!$C$10:$C$66,0),1),[11]設定!$I45))</f>
        <v>20.6</v>
      </c>
      <c r="F69" s="52">
        <f>IF($D69="","",IF([11]設定!$I45="",INDEX([11]第３表!$F$10:$Q$66,MATCH([11]設定!$D45,[11]第３表!$C$10:$C$66,0),2),[11]設定!$I45))</f>
        <v>164.5</v>
      </c>
      <c r="G69" s="52">
        <f>IF($D69="","",IF([11]設定!$I45="",INDEX([11]第３表!$F$10:$Q$66,MATCH([11]設定!$D45,[11]第３表!$C$10:$C$66,0),3),[11]設定!$I45))</f>
        <v>152.19999999999999</v>
      </c>
      <c r="H69" s="55">
        <f>IF($D69="","",IF([11]設定!$I45="",INDEX([11]第３表!$F$10:$Q$66,MATCH([11]設定!$D45,[11]第３表!$C$10:$C$66,0),4),[11]設定!$I45))</f>
        <v>12.3</v>
      </c>
      <c r="I69" s="52">
        <f>IF($D69="","",IF([11]設定!$I45="",INDEX([11]第３表!$F$10:$Q$66,MATCH([11]設定!$D45,[11]第３表!$C$10:$C$66,0),5),[11]設定!$I45))</f>
        <v>20.8</v>
      </c>
      <c r="J69" s="52">
        <f>IF($D69="","",IF([11]設定!$I45="",INDEX([11]第３表!$F$10:$Q$66,MATCH([11]設定!$D45,[11]第３表!$C$10:$C$66,0),6),[11]設定!$I45))</f>
        <v>173.2</v>
      </c>
      <c r="K69" s="52">
        <f>IF($D69="","",IF([11]設定!$I45="",INDEX([11]第３表!$F$10:$Q$66,MATCH([11]設定!$D45,[11]第３表!$C$10:$C$66,0),7),[11]設定!$I45))</f>
        <v>157.1</v>
      </c>
      <c r="L69" s="55">
        <f>IF($D69="","",IF([11]設定!$I45="",INDEX([11]第３表!$F$10:$Q$66,MATCH([11]設定!$D45,[11]第３表!$C$10:$C$66,0),8),[11]設定!$I45))</f>
        <v>16.100000000000001</v>
      </c>
      <c r="M69" s="52">
        <f>IF($D69="","",IF([11]設定!$I45="",INDEX([11]第３表!$F$10:$Q$66,MATCH([11]設定!$D45,[11]第３表!$C$10:$C$66,0),9),[11]設定!$I45))</f>
        <v>20.100000000000001</v>
      </c>
      <c r="N69" s="52">
        <f>IF($D69="","",IF([11]設定!$I45="",INDEX([11]第３表!$F$10:$Q$66,MATCH([11]設定!$D45,[11]第３表!$C$10:$C$66,0),10),[11]設定!$I45))</f>
        <v>139.1</v>
      </c>
      <c r="O69" s="52">
        <f>IF($D69="","",IF([11]設定!$I45="",INDEX([11]第３表!$F$10:$Q$66,MATCH([11]設定!$D45,[11]第３表!$C$10:$C$66,0),11),[11]設定!$I45))</f>
        <v>137.9</v>
      </c>
      <c r="P69" s="55">
        <f>IF($D69="","",IF([11]設定!$I45="",INDEX([11]第３表!$F$10:$Q$66,MATCH([11]設定!$D45,[11]第３表!$C$10:$C$66,0),12),[11]設定!$I45))</f>
        <v>1.2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IF($D70="","",IF([11]設定!$I46="",INDEX([11]第３表!$F$10:$Q$66,MATCH([11]設定!$D46,[11]第３表!$C$10:$C$66,0),1),[11]設定!$I46))</f>
        <v>20.8</v>
      </c>
      <c r="F70" s="52">
        <f>IF($D70="","",IF([11]設定!$I46="",INDEX([11]第３表!$F$10:$Q$66,MATCH([11]設定!$D46,[11]第３表!$C$10:$C$66,0),2),[11]設定!$I46))</f>
        <v>172.5</v>
      </c>
      <c r="G70" s="52">
        <f>IF($D70="","",IF([11]設定!$I46="",INDEX([11]第３表!$F$10:$Q$66,MATCH([11]設定!$D46,[11]第３表!$C$10:$C$66,0),3),[11]設定!$I46))</f>
        <v>153.6</v>
      </c>
      <c r="H70" s="55">
        <f>IF($D70="","",IF([11]設定!$I46="",INDEX([11]第３表!$F$10:$Q$66,MATCH([11]設定!$D46,[11]第３表!$C$10:$C$66,0),4),[11]設定!$I46))</f>
        <v>18.899999999999999</v>
      </c>
      <c r="I70" s="52">
        <f>IF($D70="","",IF([11]設定!$I46="",INDEX([11]第３表!$F$10:$Q$66,MATCH([11]設定!$D46,[11]第３表!$C$10:$C$66,0),5),[11]設定!$I46))</f>
        <v>20.9</v>
      </c>
      <c r="J70" s="52">
        <f>IF($D70="","",IF([11]設定!$I46="",INDEX([11]第３表!$F$10:$Q$66,MATCH([11]設定!$D46,[11]第３表!$C$10:$C$66,0),6),[11]設定!$I46))</f>
        <v>173.7</v>
      </c>
      <c r="K70" s="52">
        <f>IF($D70="","",IF([11]設定!$I46="",INDEX([11]第３表!$F$10:$Q$66,MATCH([11]設定!$D46,[11]第３表!$C$10:$C$66,0),7),[11]設定!$I46))</f>
        <v>153.1</v>
      </c>
      <c r="L70" s="55">
        <f>IF($D70="","",IF([11]設定!$I46="",INDEX([11]第３表!$F$10:$Q$66,MATCH([11]設定!$D46,[11]第３表!$C$10:$C$66,0),8),[11]設定!$I46))</f>
        <v>20.6</v>
      </c>
      <c r="M70" s="52">
        <f>IF($D70="","",IF([11]設定!$I46="",INDEX([11]第３表!$F$10:$Q$66,MATCH([11]設定!$D46,[11]第３表!$C$10:$C$66,0),9),[11]設定!$I46))</f>
        <v>20.399999999999999</v>
      </c>
      <c r="N70" s="52">
        <f>IF($D70="","",IF([11]設定!$I46="",INDEX([11]第３表!$F$10:$Q$66,MATCH([11]設定!$D46,[11]第３表!$C$10:$C$66,0),10),[11]設定!$I46))</f>
        <v>164.4</v>
      </c>
      <c r="O70" s="52">
        <f>IF($D70="","",IF([11]設定!$I46="",INDEX([11]第３表!$F$10:$Q$66,MATCH([11]設定!$D46,[11]第３表!$C$10:$C$66,0),11),[11]設定!$I46))</f>
        <v>156.6</v>
      </c>
      <c r="P70" s="55">
        <f>IF($D70="","",IF([11]設定!$I46="",INDEX([11]第３表!$F$10:$Q$66,MATCH([11]設定!$D46,[11]第３表!$C$10:$C$66,0),12),[11]設定!$I46))</f>
        <v>7.8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IF($D71="","",IF([11]設定!$I47="",INDEX([11]第３表!$F$10:$Q$66,MATCH([11]設定!$D47,[11]第３表!$C$10:$C$66,0),1),[11]設定!$I47))</f>
        <v>21.1</v>
      </c>
      <c r="F71" s="52">
        <f>IF($D71="","",IF([11]設定!$I47="",INDEX([11]第３表!$F$10:$Q$66,MATCH([11]設定!$D47,[11]第３表!$C$10:$C$66,0),2),[11]設定!$I47))</f>
        <v>170.6</v>
      </c>
      <c r="G71" s="52">
        <f>IF($D71="","",IF([11]設定!$I47="",INDEX([11]第３表!$F$10:$Q$66,MATCH([11]設定!$D47,[11]第３表!$C$10:$C$66,0),3),[11]設定!$I47))</f>
        <v>157.4</v>
      </c>
      <c r="H71" s="55">
        <f>IF($D71="","",IF([11]設定!$I47="",INDEX([11]第３表!$F$10:$Q$66,MATCH([11]設定!$D47,[11]第３表!$C$10:$C$66,0),4),[11]設定!$I47))</f>
        <v>13.2</v>
      </c>
      <c r="I71" s="52">
        <f>IF($D71="","",IF([11]設定!$I47="",INDEX([11]第３表!$F$10:$Q$66,MATCH([11]設定!$D47,[11]第３表!$C$10:$C$66,0),5),[11]設定!$I47))</f>
        <v>21.3</v>
      </c>
      <c r="J71" s="52">
        <f>IF($D71="","",IF([11]設定!$I47="",INDEX([11]第３表!$F$10:$Q$66,MATCH([11]設定!$D47,[11]第３表!$C$10:$C$66,0),6),[11]設定!$I47))</f>
        <v>179.5</v>
      </c>
      <c r="K71" s="52">
        <f>IF($D71="","",IF([11]設定!$I47="",INDEX([11]第３表!$F$10:$Q$66,MATCH([11]設定!$D47,[11]第３表!$C$10:$C$66,0),7),[11]設定!$I47))</f>
        <v>163.19999999999999</v>
      </c>
      <c r="L71" s="55">
        <f>IF($D71="","",IF([11]設定!$I47="",INDEX([11]第３表!$F$10:$Q$66,MATCH([11]設定!$D47,[11]第３表!$C$10:$C$66,0),8),[11]設定!$I47))</f>
        <v>16.3</v>
      </c>
      <c r="M71" s="52">
        <f>IF($D71="","",IF([11]設定!$I47="",INDEX([11]第３表!$F$10:$Q$66,MATCH([11]設定!$D47,[11]第３表!$C$10:$C$66,0),9),[11]設定!$I47))</f>
        <v>20.399999999999999</v>
      </c>
      <c r="N71" s="52">
        <f>IF($D71="","",IF([11]設定!$I47="",INDEX([11]第３表!$F$10:$Q$66,MATCH([11]設定!$D47,[11]第３表!$C$10:$C$66,0),10),[11]設定!$I47))</f>
        <v>141.1</v>
      </c>
      <c r="O71" s="52">
        <f>IF($D71="","",IF([11]設定!$I47="",INDEX([11]第３表!$F$10:$Q$66,MATCH([11]設定!$D47,[11]第３表!$C$10:$C$66,0),11),[11]設定!$I47))</f>
        <v>138.19999999999999</v>
      </c>
      <c r="P71" s="55">
        <f>IF($D71="","",IF([11]設定!$I47="",INDEX([11]第３表!$F$10:$Q$66,MATCH([11]設定!$D47,[11]第３表!$C$10:$C$66,0),12),[11]設定!$I47))</f>
        <v>2.9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IF($D72="","",IF([11]設定!$I48="",INDEX([11]第３表!$F$10:$Q$66,MATCH([11]設定!$D48,[11]第３表!$C$10:$C$66,0),1),[11]設定!$I48))</f>
        <v>20.3</v>
      </c>
      <c r="F72" s="55">
        <f>IF($D72="","",IF([11]設定!$I48="",INDEX([11]第３表!$F$10:$Q$66,MATCH([11]設定!$D48,[11]第３表!$C$10:$C$66,0),2),[11]設定!$I48))</f>
        <v>163</v>
      </c>
      <c r="G72" s="55">
        <f>IF($D72="","",IF([11]設定!$I48="",INDEX([11]第３表!$F$10:$Q$66,MATCH([11]設定!$D48,[11]第３表!$C$10:$C$66,0),3),[11]設定!$I48))</f>
        <v>157.19999999999999</v>
      </c>
      <c r="H72" s="55">
        <f>IF($D72="","",IF([11]設定!$I48="",INDEX([11]第３表!$F$10:$Q$66,MATCH([11]設定!$D48,[11]第３表!$C$10:$C$66,0),4),[11]設定!$I48))</f>
        <v>5.8</v>
      </c>
      <c r="I72" s="55">
        <f>IF($D72="","",IF([11]設定!$I48="",INDEX([11]第３表!$F$10:$Q$66,MATCH([11]設定!$D48,[11]第３表!$C$10:$C$66,0),5),[11]設定!$I48))</f>
        <v>20.399999999999999</v>
      </c>
      <c r="J72" s="55">
        <f>IF($D72="","",IF([11]設定!$I48="",INDEX([11]第３表!$F$10:$Q$66,MATCH([11]設定!$D48,[11]第３表!$C$10:$C$66,0),6),[11]設定!$I48))</f>
        <v>167</v>
      </c>
      <c r="K72" s="55">
        <f>IF($D72="","",IF([11]設定!$I48="",INDEX([11]第３表!$F$10:$Q$66,MATCH([11]設定!$D48,[11]第３表!$C$10:$C$66,0),7),[11]設定!$I48))</f>
        <v>159.69999999999999</v>
      </c>
      <c r="L72" s="55">
        <f>IF($D72="","",IF([11]設定!$I48="",INDEX([11]第３表!$F$10:$Q$66,MATCH([11]設定!$D48,[11]第３表!$C$10:$C$66,0),8),[11]設定!$I48))</f>
        <v>7.3</v>
      </c>
      <c r="M72" s="55">
        <f>IF($D72="","",IF([11]設定!$I48="",INDEX([11]第３表!$F$10:$Q$66,MATCH([11]設定!$D48,[11]第３表!$C$10:$C$66,0),9),[11]設定!$I48))</f>
        <v>20</v>
      </c>
      <c r="N72" s="55">
        <f>IF($D72="","",IF([11]設定!$I48="",INDEX([11]第３表!$F$10:$Q$66,MATCH([11]設定!$D48,[11]第３表!$C$10:$C$66,0),10),[11]設定!$I48))</f>
        <v>151.9</v>
      </c>
      <c r="O72" s="55">
        <f>IF($D72="","",IF([11]設定!$I48="",INDEX([11]第３表!$F$10:$Q$66,MATCH([11]設定!$D48,[11]第３表!$C$10:$C$66,0),11),[11]設定!$I48))</f>
        <v>150.1</v>
      </c>
      <c r="P72" s="55">
        <f>IF($D72="","",IF([11]設定!$I48="",INDEX([11]第３表!$F$10:$Q$66,MATCH([11]設定!$D48,[11]第３表!$C$10:$C$66,0),12),[11]設定!$I48))</f>
        <v>1.8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IF($D73="","",IF([11]設定!$I49="",INDEX([11]第３表!$F$10:$Q$66,MATCH([11]設定!$D49,[11]第３表!$C$10:$C$66,0),1),[11]設定!$I49))</f>
        <v>19.600000000000001</v>
      </c>
      <c r="F73" s="55">
        <f>IF($D73="","",IF([11]設定!$I49="",INDEX([11]第３表!$F$10:$Q$66,MATCH([11]設定!$D49,[11]第３表!$C$10:$C$66,0),2),[11]設定!$I49))</f>
        <v>161.9</v>
      </c>
      <c r="G73" s="55">
        <f>IF($D73="","",IF([11]設定!$I49="",INDEX([11]第３表!$F$10:$Q$66,MATCH([11]設定!$D49,[11]第３表!$C$10:$C$66,0),3),[11]設定!$I49))</f>
        <v>153.5</v>
      </c>
      <c r="H73" s="55">
        <f>IF($D73="","",IF([11]設定!$I49="",INDEX([11]第３表!$F$10:$Q$66,MATCH([11]設定!$D49,[11]第３表!$C$10:$C$66,0),4),[11]設定!$I49))</f>
        <v>8.4</v>
      </c>
      <c r="I73" s="55">
        <f>IF($D73="","",IF([11]設定!$I49="",INDEX([11]第３表!$F$10:$Q$66,MATCH([11]設定!$D49,[11]第３表!$C$10:$C$66,0),5),[11]設定!$I49))</f>
        <v>19.7</v>
      </c>
      <c r="J73" s="55">
        <f>IF($D73="","",IF([11]設定!$I49="",INDEX([11]第３表!$F$10:$Q$66,MATCH([11]設定!$D49,[11]第３表!$C$10:$C$66,0),6),[11]設定!$I49))</f>
        <v>163.80000000000001</v>
      </c>
      <c r="K73" s="55">
        <f>IF($D73="","",IF([11]設定!$I49="",INDEX([11]第３表!$F$10:$Q$66,MATCH([11]設定!$D49,[11]第３表!$C$10:$C$66,0),7),[11]設定!$I49))</f>
        <v>152.30000000000001</v>
      </c>
      <c r="L73" s="55">
        <f>IF($D73="","",IF([11]設定!$I49="",INDEX([11]第３表!$F$10:$Q$66,MATCH([11]設定!$D49,[11]第３表!$C$10:$C$66,0),8),[11]設定!$I49))</f>
        <v>11.5</v>
      </c>
      <c r="M73" s="55">
        <f>IF($D73="","",IF([11]設定!$I49="",INDEX([11]第３表!$F$10:$Q$66,MATCH([11]設定!$D49,[11]第３表!$C$10:$C$66,0),9),[11]設定!$I49))</f>
        <v>19.600000000000001</v>
      </c>
      <c r="N73" s="55">
        <f>IF($D73="","",IF([11]設定!$I49="",INDEX([11]第３表!$F$10:$Q$66,MATCH([11]設定!$D49,[11]第３表!$C$10:$C$66,0),10),[11]設定!$I49))</f>
        <v>160.1</v>
      </c>
      <c r="O73" s="55">
        <f>IF($D73="","",IF([11]設定!$I49="",INDEX([11]第３表!$F$10:$Q$66,MATCH([11]設定!$D49,[11]第３表!$C$10:$C$66,0),11),[11]設定!$I49))</f>
        <v>154.6</v>
      </c>
      <c r="P73" s="55">
        <f>IF($D73="","",IF([11]設定!$I49="",INDEX([11]第３表!$F$10:$Q$66,MATCH([11]設定!$D49,[11]第３表!$C$10:$C$66,0),12),[11]設定!$I49))</f>
        <v>5.5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IF($D74="","",IF([11]設定!$I50="",INDEX([11]第３表!$F$10:$Q$66,MATCH([11]設定!$D50,[11]第３表!$C$10:$C$66,0),1),[11]設定!$I50))</f>
        <v>18.5</v>
      </c>
      <c r="F74" s="55">
        <f>IF($D74="","",IF([11]設定!$I50="",INDEX([11]第３表!$F$10:$Q$66,MATCH([11]設定!$D50,[11]第３表!$C$10:$C$66,0),2),[11]設定!$I50))</f>
        <v>157</v>
      </c>
      <c r="G74" s="55">
        <f>IF($D74="","",IF([11]設定!$I50="",INDEX([11]第３表!$F$10:$Q$66,MATCH([11]設定!$D50,[11]第３表!$C$10:$C$66,0),3),[11]設定!$I50))</f>
        <v>144.80000000000001</v>
      </c>
      <c r="H74" s="55">
        <f>IF($D74="","",IF([11]設定!$I50="",INDEX([11]第３表!$F$10:$Q$66,MATCH([11]設定!$D50,[11]第３表!$C$10:$C$66,0),4),[11]設定!$I50))</f>
        <v>12.2</v>
      </c>
      <c r="I74" s="55">
        <f>IF($D74="","",IF([11]設定!$I50="",INDEX([11]第３表!$F$10:$Q$66,MATCH([11]設定!$D50,[11]第３表!$C$10:$C$66,0),5),[11]設定!$I50))</f>
        <v>18.600000000000001</v>
      </c>
      <c r="J74" s="55">
        <f>IF($D74="","",IF([11]設定!$I50="",INDEX([11]第３表!$F$10:$Q$66,MATCH([11]設定!$D50,[11]第３表!$C$10:$C$66,0),6),[11]設定!$I50))</f>
        <v>164.3</v>
      </c>
      <c r="K74" s="55">
        <f>IF($D74="","",IF([11]設定!$I50="",INDEX([11]第３表!$F$10:$Q$66,MATCH([11]設定!$D50,[11]第３表!$C$10:$C$66,0),7),[11]設定!$I50))</f>
        <v>148.80000000000001</v>
      </c>
      <c r="L74" s="55">
        <f>IF($D74="","",IF([11]設定!$I50="",INDEX([11]第３表!$F$10:$Q$66,MATCH([11]設定!$D50,[11]第３表!$C$10:$C$66,0),8),[11]設定!$I50))</f>
        <v>15.5</v>
      </c>
      <c r="M74" s="55">
        <f>IF($D74="","",IF([11]設定!$I50="",INDEX([11]第３表!$F$10:$Q$66,MATCH([11]設定!$D50,[11]第３表!$C$10:$C$66,0),9),[11]設定!$I50))</f>
        <v>18.3</v>
      </c>
      <c r="N74" s="55">
        <f>IF($D74="","",IF([11]設定!$I50="",INDEX([11]第３表!$F$10:$Q$66,MATCH([11]設定!$D50,[11]第３表!$C$10:$C$66,0),10),[11]設定!$I50))</f>
        <v>143</v>
      </c>
      <c r="O74" s="55">
        <f>IF($D74="","",IF([11]設定!$I50="",INDEX([11]第３表!$F$10:$Q$66,MATCH([11]設定!$D50,[11]第３表!$C$10:$C$66,0),11),[11]設定!$I50))</f>
        <v>137</v>
      </c>
      <c r="P74" s="55">
        <f>IF($D74="","",IF([11]設定!$I50="",INDEX([11]第３表!$F$10:$Q$66,MATCH([11]設定!$D50,[11]第３表!$C$10:$C$66,0),12),[11]設定!$I50))</f>
        <v>6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IF($D75="","",IF([11]設定!$I51="",INDEX([11]第３表!$F$10:$Q$66,MATCH([11]設定!$D51,[11]第３表!$C$10:$C$66,0),1),[11]設定!$I51))</f>
        <v>20.7</v>
      </c>
      <c r="F75" s="55">
        <f>IF($D75="","",IF([11]設定!$I51="",INDEX([11]第３表!$F$10:$Q$66,MATCH([11]設定!$D51,[11]第３表!$C$10:$C$66,0),2),[11]設定!$I51))</f>
        <v>167.2</v>
      </c>
      <c r="G75" s="55">
        <f>IF($D75="","",IF([11]設定!$I51="",INDEX([11]第３表!$F$10:$Q$66,MATCH([11]設定!$D51,[11]第３表!$C$10:$C$66,0),3),[11]設定!$I51))</f>
        <v>160.80000000000001</v>
      </c>
      <c r="H75" s="55">
        <f>IF($D75="","",IF([11]設定!$I51="",INDEX([11]第３表!$F$10:$Q$66,MATCH([11]設定!$D51,[11]第３表!$C$10:$C$66,0),4),[11]設定!$I51))</f>
        <v>6.4</v>
      </c>
      <c r="I75" s="55">
        <f>IF($D75="","",IF([11]設定!$I51="",INDEX([11]第３表!$F$10:$Q$66,MATCH([11]設定!$D51,[11]第３表!$C$10:$C$66,0),5),[11]設定!$I51))</f>
        <v>20.9</v>
      </c>
      <c r="J75" s="55">
        <f>IF($D75="","",IF([11]設定!$I51="",INDEX([11]第３表!$F$10:$Q$66,MATCH([11]設定!$D51,[11]第３表!$C$10:$C$66,0),6),[11]設定!$I51))</f>
        <v>172.8</v>
      </c>
      <c r="K75" s="55">
        <f>IF($D75="","",IF([11]設定!$I51="",INDEX([11]第３表!$F$10:$Q$66,MATCH([11]設定!$D51,[11]第３表!$C$10:$C$66,0),7),[11]設定!$I51))</f>
        <v>164.3</v>
      </c>
      <c r="L75" s="55">
        <f>IF($D75="","",IF([11]設定!$I51="",INDEX([11]第３表!$F$10:$Q$66,MATCH([11]設定!$D51,[11]第３表!$C$10:$C$66,0),8),[11]設定!$I51))</f>
        <v>8.5</v>
      </c>
      <c r="M75" s="55">
        <f>IF($D75="","",IF([11]設定!$I51="",INDEX([11]第３表!$F$10:$Q$66,MATCH([11]設定!$D51,[11]第３表!$C$10:$C$66,0),9),[11]設定!$I51))</f>
        <v>20.2</v>
      </c>
      <c r="N75" s="55">
        <f>IF($D75="","",IF([11]設定!$I51="",INDEX([11]第３表!$F$10:$Q$66,MATCH([11]設定!$D51,[11]第３表!$C$10:$C$66,0),10),[11]設定!$I51))</f>
        <v>155.80000000000001</v>
      </c>
      <c r="O75" s="55">
        <f>IF($D75="","",IF([11]設定!$I51="",INDEX([11]第３表!$F$10:$Q$66,MATCH([11]設定!$D51,[11]第３表!$C$10:$C$66,0),11),[11]設定!$I51))</f>
        <v>153.69999999999999</v>
      </c>
      <c r="P75" s="55">
        <f>IF($D75="","",IF([11]設定!$I51="",INDEX([11]第３表!$F$10:$Q$66,MATCH([11]設定!$D51,[11]第３表!$C$10:$C$66,0),12),[11]設定!$I51))</f>
        <v>2.1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IF($D76="","",IF([11]設定!$I52="",INDEX([11]第３表!$F$10:$Q$66,MATCH([11]設定!$D52,[11]第３表!$C$10:$C$66,0),1),[11]設定!$I52))</f>
        <v>19.600000000000001</v>
      </c>
      <c r="F76" s="55">
        <f>IF($D76="","",IF([11]設定!$I52="",INDEX([11]第３表!$F$10:$Q$66,MATCH([11]設定!$D52,[11]第３表!$C$10:$C$66,0),2),[11]設定!$I52))</f>
        <v>180.2</v>
      </c>
      <c r="G76" s="55">
        <f>IF($D76="","",IF([11]設定!$I52="",INDEX([11]第３表!$F$10:$Q$66,MATCH([11]設定!$D52,[11]第３表!$C$10:$C$66,0),3),[11]設定!$I52))</f>
        <v>159.6</v>
      </c>
      <c r="H76" s="55">
        <f>IF($D76="","",IF([11]設定!$I52="",INDEX([11]第３表!$F$10:$Q$66,MATCH([11]設定!$D52,[11]第３表!$C$10:$C$66,0),4),[11]設定!$I52))</f>
        <v>20.6</v>
      </c>
      <c r="I76" s="55">
        <f>IF($D76="","",IF([11]設定!$I52="",INDEX([11]第３表!$F$10:$Q$66,MATCH([11]設定!$D52,[11]第３表!$C$10:$C$66,0),5),[11]設定!$I52))</f>
        <v>19.8</v>
      </c>
      <c r="J76" s="55">
        <f>IF($D76="","",IF([11]設定!$I52="",INDEX([11]第３表!$F$10:$Q$66,MATCH([11]設定!$D52,[11]第３表!$C$10:$C$66,0),6),[11]設定!$I52))</f>
        <v>183.7</v>
      </c>
      <c r="K76" s="55">
        <f>IF($D76="","",IF([11]設定!$I52="",INDEX([11]第３表!$F$10:$Q$66,MATCH([11]設定!$D52,[11]第３表!$C$10:$C$66,0),7),[11]設定!$I52))</f>
        <v>161.4</v>
      </c>
      <c r="L76" s="55">
        <f>IF($D76="","",IF([11]設定!$I52="",INDEX([11]第３表!$F$10:$Q$66,MATCH([11]設定!$D52,[11]第３表!$C$10:$C$66,0),8),[11]設定!$I52))</f>
        <v>22.3</v>
      </c>
      <c r="M76" s="55">
        <f>IF($D76="","",IF([11]設定!$I52="",INDEX([11]第３表!$F$10:$Q$66,MATCH([11]設定!$D52,[11]第３表!$C$10:$C$66,0),9),[11]設定!$I52))</f>
        <v>19.100000000000001</v>
      </c>
      <c r="N76" s="55">
        <f>IF($D76="","",IF([11]設定!$I52="",INDEX([11]第３表!$F$10:$Q$66,MATCH([11]設定!$D52,[11]第３表!$C$10:$C$66,0),10),[11]設定!$I52))</f>
        <v>165.1</v>
      </c>
      <c r="O76" s="55">
        <f>IF($D76="","",IF([11]設定!$I52="",INDEX([11]第３表!$F$10:$Q$66,MATCH([11]設定!$D52,[11]第３表!$C$10:$C$66,0),11),[11]設定!$I52))</f>
        <v>151.9</v>
      </c>
      <c r="P76" s="55">
        <f>IF($D76="","",IF([11]設定!$I52="",INDEX([11]第３表!$F$10:$Q$66,MATCH([11]設定!$D52,[11]第３表!$C$10:$C$66,0),12),[11]設定!$I52))</f>
        <v>13.2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IF($D77="","",IF([11]設定!$I53="",INDEX([11]第３表!$F$10:$Q$66,MATCH([11]設定!$D53,[11]第３表!$C$10:$C$66,0),1),[11]設定!$I53))</f>
        <v>19.5</v>
      </c>
      <c r="F77" s="69">
        <f>IF($D77="","",IF([11]設定!$I53="",INDEX([11]第３表!$F$10:$Q$66,MATCH([11]設定!$D53,[11]第３表!$C$10:$C$66,0),2),[11]設定!$I53))</f>
        <v>168.7</v>
      </c>
      <c r="G77" s="69">
        <f>IF($D77="","",IF([11]設定!$I53="",INDEX([11]第３表!$F$10:$Q$66,MATCH([11]設定!$D53,[11]第３表!$C$10:$C$66,0),3),[11]設定!$I53))</f>
        <v>158.19999999999999</v>
      </c>
      <c r="H77" s="69">
        <f>IF($D77="","",IF([11]設定!$I53="",INDEX([11]第３表!$F$10:$Q$66,MATCH([11]設定!$D53,[11]第３表!$C$10:$C$66,0),4),[11]設定!$I53))</f>
        <v>10.5</v>
      </c>
      <c r="I77" s="69">
        <f>IF($D77="","",IF([11]設定!$I53="",INDEX([11]第３表!$F$10:$Q$66,MATCH([11]設定!$D53,[11]第３表!$C$10:$C$66,0),5),[11]設定!$I53))</f>
        <v>19.7</v>
      </c>
      <c r="J77" s="69">
        <f>IF($D77="","",IF([11]設定!$I53="",INDEX([11]第３表!$F$10:$Q$66,MATCH([11]設定!$D53,[11]第３表!$C$10:$C$66,0),6),[11]設定!$I53))</f>
        <v>173.4</v>
      </c>
      <c r="K77" s="69">
        <f>IF($D77="","",IF([11]設定!$I53="",INDEX([11]第３表!$F$10:$Q$66,MATCH([11]設定!$D53,[11]第３表!$C$10:$C$66,0),7),[11]設定!$I53))</f>
        <v>159.6</v>
      </c>
      <c r="L77" s="69">
        <f>IF($D77="","",IF([11]設定!$I53="",INDEX([11]第３表!$F$10:$Q$66,MATCH([11]設定!$D53,[11]第３表!$C$10:$C$66,0),8),[11]設定!$I53))</f>
        <v>13.8</v>
      </c>
      <c r="M77" s="69">
        <f>IF($D77="","",IF([11]設定!$I53="",INDEX([11]第３表!$F$10:$Q$66,MATCH([11]設定!$D53,[11]第３表!$C$10:$C$66,0),9),[11]設定!$I53))</f>
        <v>19</v>
      </c>
      <c r="N77" s="69">
        <f>IF($D77="","",IF([11]設定!$I53="",INDEX([11]第３表!$F$10:$Q$66,MATCH([11]設定!$D53,[11]第３表!$C$10:$C$66,0),10),[11]設定!$I53))</f>
        <v>161.30000000000001</v>
      </c>
      <c r="O77" s="69">
        <f>IF($D77="","",IF([11]設定!$I53="",INDEX([11]第３表!$F$10:$Q$66,MATCH([11]設定!$D53,[11]第３表!$C$10:$C$66,0),11),[11]設定!$I53))</f>
        <v>156</v>
      </c>
      <c r="P77" s="69">
        <f>IF($D77="","",IF([11]設定!$I53="",INDEX([11]第３表!$F$10:$Q$66,MATCH([11]設定!$D53,[11]第３表!$C$10:$C$66,0),12),[11]設定!$I53))</f>
        <v>5.3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IF($D78="","",IF([11]設定!$I54="",INDEX([11]第３表!$F$10:$Q$66,MATCH([11]設定!$D54,[11]第３表!$C$10:$C$66,0),1),[11]設定!$I54))</f>
        <v>19.100000000000001</v>
      </c>
      <c r="F78" s="73">
        <f>IF($D78="","",IF([11]設定!$I54="",INDEX([11]第３表!$F$10:$Q$66,MATCH([11]設定!$D54,[11]第３表!$C$10:$C$66,0),2),[11]設定!$I54))</f>
        <v>155.5</v>
      </c>
      <c r="G78" s="73">
        <f>IF($D78="","",IF([11]設定!$I54="",INDEX([11]第３表!$F$10:$Q$66,MATCH([11]設定!$D54,[11]第３表!$C$10:$C$66,0),3),[11]設定!$I54))</f>
        <v>146.30000000000001</v>
      </c>
      <c r="H78" s="73">
        <f>IF($D78="","",IF([11]設定!$I54="",INDEX([11]第３表!$F$10:$Q$66,MATCH([11]設定!$D54,[11]第３表!$C$10:$C$66,0),4),[11]設定!$I54))</f>
        <v>9.1999999999999993</v>
      </c>
      <c r="I78" s="73">
        <f>IF($D78="","",IF([11]設定!$I54="",INDEX([11]第３表!$F$10:$Q$66,MATCH([11]設定!$D54,[11]第３表!$C$10:$C$66,0),5),[11]設定!$I54))</f>
        <v>19.7</v>
      </c>
      <c r="J78" s="73">
        <f>IF($D78="","",IF([11]設定!$I54="",INDEX([11]第３表!$F$10:$Q$66,MATCH([11]設定!$D54,[11]第３表!$C$10:$C$66,0),6),[11]設定!$I54))</f>
        <v>173.1</v>
      </c>
      <c r="K78" s="73">
        <f>IF($D78="","",IF([11]設定!$I54="",INDEX([11]第３表!$F$10:$Q$66,MATCH([11]設定!$D54,[11]第３表!$C$10:$C$66,0),7),[11]設定!$I54))</f>
        <v>158</v>
      </c>
      <c r="L78" s="73">
        <f>IF($D78="","",IF([11]設定!$I54="",INDEX([11]第３表!$F$10:$Q$66,MATCH([11]設定!$D54,[11]第３表!$C$10:$C$66,0),8),[11]設定!$I54))</f>
        <v>15.1</v>
      </c>
      <c r="M78" s="73">
        <f>IF($D78="","",IF([11]設定!$I54="",INDEX([11]第３表!$F$10:$Q$66,MATCH([11]設定!$D54,[11]第３表!$C$10:$C$66,0),9),[11]設定!$I54))</f>
        <v>18.600000000000001</v>
      </c>
      <c r="N78" s="73">
        <f>IF($D78="","",IF([11]設定!$I54="",INDEX([11]第３表!$F$10:$Q$66,MATCH([11]設定!$D54,[11]第３表!$C$10:$C$66,0),10),[11]設定!$I54))</f>
        <v>141</v>
      </c>
      <c r="O78" s="73">
        <f>IF($D78="","",IF([11]設定!$I54="",INDEX([11]第３表!$F$10:$Q$66,MATCH([11]設定!$D54,[11]第３表!$C$10:$C$66,0),11),[11]設定!$I54))</f>
        <v>136.69999999999999</v>
      </c>
      <c r="P78" s="73">
        <f>IF($D78="","",IF([11]設定!$I54="",INDEX([11]第３表!$F$10:$Q$66,MATCH([11]設定!$D54,[11]第３表!$C$10:$C$66,0),12),[11]設定!$I54))</f>
        <v>4.3</v>
      </c>
    </row>
  </sheetData>
  <phoneticPr fontId="2"/>
  <printOptions horizontalCentered="1"/>
  <pageMargins left="0.59055118110236227" right="0.59055118110236227" top="0.35433070866141736" bottom="0.59055118110236227" header="0" footer="0.59055118110236227"/>
  <pageSetup paperSize="9" scale="59" orientation="portrait" blackAndWhite="1" cellComments="atEnd" horizontalDpi="300" verticalDpi="300" r:id="rId1"/>
  <headerFooter scaleWithDoc="0" alignWithMargins="0">
    <oddFooter>&amp;C- 15 -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ECA50-1EA5-44FC-9AC8-5E80EDBDC867}">
  <sheetPr codeName="Sheet6"/>
  <dimension ref="A1:R78"/>
  <sheetViews>
    <sheetView showGridLines="0" view="pageBreakPreview" topLeftCell="A59" zoomScale="80" zoomScaleNormal="80" zoomScaleSheetLayoutView="80" workbookViewId="0">
      <selection activeCell="H82" sqref="H82:H83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3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（"&amp;[13]設定!D8&amp;DBCS([13]設定!E8)&amp;"年"&amp;DBCS([13]設定!F8)&amp;"月）"</f>
        <v>　　    （令和５年７月）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+[14]第５表!B9</f>
        <v>TL</v>
      </c>
      <c r="C9" s="46"/>
      <c r="D9" s="47" t="str">
        <f>+[14]第５表!D9</f>
        <v>調査産業計</v>
      </c>
      <c r="E9" s="48">
        <f>IF($D9="","",IF([13]設定!$H23="",INDEX([13]第３表!$F$80:$Q$136,MATCH([13]設定!$D23,[13]第３表!$C$80:$C$136,0),1),[13]設定!$H23))</f>
        <v>18.600000000000001</v>
      </c>
      <c r="F9" s="48">
        <f>IF($D9="","",IF([13]設定!$H23="",INDEX([13]第３表!$F$80:$Q$136,MATCH([13]設定!$D23,[13]第３表!$C$80:$C$136,0),2),[13]設定!$H23))</f>
        <v>142.30000000000001</v>
      </c>
      <c r="G9" s="48">
        <f>IF($D9="","",IF([13]設定!$H23="",INDEX([13]第３表!$F$80:$Q$136,MATCH([13]設定!$D23,[13]第３表!$C$80:$C$136,0),3),[13]設定!$H23))</f>
        <v>132.6</v>
      </c>
      <c r="H9" s="48">
        <f>IF($D9="","",IF([13]設定!$H23="",INDEX([13]第３表!$F$80:$Q$136,MATCH([13]設定!$D23,[13]第３表!$C$80:$C$136,0),4),[13]設定!$H23))</f>
        <v>9.6999999999999993</v>
      </c>
      <c r="I9" s="48">
        <f>IF($D9="","",IF([13]設定!$H23="",INDEX([13]第３表!$F$80:$Q$136,MATCH([13]設定!$D23,[13]第３表!$C$80:$C$136,0),5),[13]設定!$H23))</f>
        <v>19.3</v>
      </c>
      <c r="J9" s="48">
        <f>IF($D9="","",IF([13]設定!$H23="",INDEX([13]第３表!$F$80:$Q$136,MATCH([13]設定!$D23,[13]第３表!$C$80:$C$136,0),6),[13]設定!$H23))</f>
        <v>156.5</v>
      </c>
      <c r="K9" s="48">
        <f>IF($D9="","",IF([13]設定!$H23="",INDEX([13]第３表!$F$80:$Q$136,MATCH([13]設定!$D23,[13]第３表!$C$80:$C$136,0),7),[13]設定!$H23))</f>
        <v>142.6</v>
      </c>
      <c r="L9" s="48">
        <f>IF($D9="","",IF([13]設定!$H23="",INDEX([13]第３表!$F$80:$Q$136,MATCH([13]設定!$D23,[13]第３表!$C$80:$C$136,0),8),[13]設定!$H23))</f>
        <v>13.9</v>
      </c>
      <c r="M9" s="48">
        <f>IF($D9="","",IF([13]設定!$H23="",INDEX([13]第３表!$F$80:$Q$136,MATCH([13]設定!$D23,[13]第３表!$C$80:$C$136,0),9),[13]設定!$H23))</f>
        <v>17.8</v>
      </c>
      <c r="N9" s="48">
        <f>IF($D9="","",IF([13]設定!$H23="",INDEX([13]第３表!$F$80:$Q$136,MATCH([13]設定!$D23,[13]第３表!$C$80:$C$136,0),10),[13]設定!$H23))</f>
        <v>128.19999999999999</v>
      </c>
      <c r="O9" s="48">
        <f>IF($D9="","",IF([13]設定!$H23="",INDEX([13]第３表!$F$80:$Q$136,MATCH([13]設定!$D23,[13]第３表!$C$80:$C$136,0),11),[13]設定!$H23))</f>
        <v>122.7</v>
      </c>
      <c r="P9" s="48">
        <f>IF($D9="","",IF([13]設定!$H23="",INDEX([13]第３表!$F$80:$Q$136,MATCH([13]設定!$D23,[13]第３表!$C$80:$C$136,0),12),[13]設定!$H23))</f>
        <v>5.5</v>
      </c>
    </row>
    <row r="10" spans="1:18" s="8" customFormat="1" ht="17.25" customHeight="1" x14ac:dyDescent="0.45">
      <c r="B10" s="49" t="str">
        <f>+[14]第５表!B10</f>
        <v>D</v>
      </c>
      <c r="C10" s="50"/>
      <c r="D10" s="51" t="str">
        <f>+[14]第５表!D10</f>
        <v>建設業</v>
      </c>
      <c r="E10" s="52">
        <f>IF($D10="","",IF([13]設定!$H24="",INDEX([13]第３表!$F$80:$Q$136,MATCH([13]設定!$D24,[13]第３表!$C$80:$C$136,0),1),[13]設定!$H24))</f>
        <v>21.2</v>
      </c>
      <c r="F10" s="52">
        <f>IF($D10="","",IF([13]設定!$H24="",INDEX([13]第３表!$F$80:$Q$136,MATCH([13]設定!$D24,[13]第３表!$C$80:$C$136,0),2),[13]設定!$H24))</f>
        <v>160.5</v>
      </c>
      <c r="G10" s="52">
        <f>IF($D10="","",IF([13]設定!$H24="",INDEX([13]第３表!$F$80:$Q$136,MATCH([13]設定!$D24,[13]第３表!$C$80:$C$136,0),3),[13]設定!$H24))</f>
        <v>153.6</v>
      </c>
      <c r="H10" s="53">
        <f>IF($D10="","",IF([13]設定!$H24="",INDEX([13]第３表!$F$80:$Q$136,MATCH([13]設定!$D24,[13]第３表!$C$80:$C$136,0),4),[13]設定!$H24))</f>
        <v>6.9</v>
      </c>
      <c r="I10" s="54">
        <f>IF($D10="","",IF([13]設定!$H24="",INDEX([13]第３表!$F$80:$Q$136,MATCH([13]設定!$D24,[13]第３表!$C$80:$C$136,0),5),[13]設定!$H24))</f>
        <v>21.4</v>
      </c>
      <c r="J10" s="54">
        <f>IF($D10="","",IF([13]設定!$H24="",INDEX([13]第３表!$F$80:$Q$136,MATCH([13]設定!$D24,[13]第３表!$C$80:$C$136,0),6),[13]設定!$H24))</f>
        <v>163</v>
      </c>
      <c r="K10" s="54">
        <f>IF($D10="","",IF([13]設定!$H24="",INDEX([13]第３表!$F$80:$Q$136,MATCH([13]設定!$D24,[13]第３表!$C$80:$C$136,0),7),[13]設定!$H24))</f>
        <v>155.4</v>
      </c>
      <c r="L10" s="55">
        <f>IF($D10="","",IF([13]設定!$H24="",INDEX([13]第３表!$F$80:$Q$136,MATCH([13]設定!$D24,[13]第３表!$C$80:$C$136,0),8),[13]設定!$H24))</f>
        <v>7.6</v>
      </c>
      <c r="M10" s="56">
        <f>IF($D10="","",IF([13]設定!$H24="",INDEX([13]第３表!$F$80:$Q$136,MATCH([13]設定!$D24,[13]第３表!$C$80:$C$136,0),9),[13]設定!$H24))</f>
        <v>20</v>
      </c>
      <c r="N10" s="56">
        <f>IF($D10="","",IF([13]設定!$H24="",INDEX([13]第３表!$F$80:$Q$136,MATCH([13]設定!$D24,[13]第３表!$C$80:$C$136,0),10),[13]設定!$H24))</f>
        <v>145.5</v>
      </c>
      <c r="O10" s="56">
        <f>IF($D10="","",IF([13]設定!$H24="",INDEX([13]第３表!$F$80:$Q$136,MATCH([13]設定!$D24,[13]第３表!$C$80:$C$136,0),11),[13]設定!$H24))</f>
        <v>142.5</v>
      </c>
      <c r="P10" s="57">
        <f>IF($D10="","",IF([13]設定!$H24="",INDEX([13]第３表!$F$80:$Q$136,MATCH([13]設定!$D24,[13]第３表!$C$80:$C$136,0),12),[13]設定!$H24))</f>
        <v>3</v>
      </c>
    </row>
    <row r="11" spans="1:18" s="8" customFormat="1" ht="17.25" customHeight="1" x14ac:dyDescent="0.45">
      <c r="B11" s="49" t="str">
        <f>+[14]第５表!B11</f>
        <v>E</v>
      </c>
      <c r="C11" s="50"/>
      <c r="D11" s="51" t="str">
        <f>+[14]第５表!D11</f>
        <v>製造業</v>
      </c>
      <c r="E11" s="52">
        <f>IF($D11="","",IF([13]設定!$H25="",INDEX([13]第３表!$F$80:$Q$136,MATCH([13]設定!$D25,[13]第３表!$C$80:$C$136,0),1),[13]設定!$H25))</f>
        <v>19.399999999999999</v>
      </c>
      <c r="F11" s="52">
        <f>IF($D11="","",IF([13]設定!$H25="",INDEX([13]第３表!$F$80:$Q$136,MATCH([13]設定!$D25,[13]第３表!$C$80:$C$136,0),2),[13]設定!$H25))</f>
        <v>157.1</v>
      </c>
      <c r="G11" s="52">
        <f>IF($D11="","",IF([13]設定!$H25="",INDEX([13]第３表!$F$80:$Q$136,MATCH([13]設定!$D25,[13]第３表!$C$80:$C$136,0),3),[13]設定!$H25))</f>
        <v>144.80000000000001</v>
      </c>
      <c r="H11" s="53">
        <f>IF($D11="","",IF([13]設定!$H25="",INDEX([13]第３表!$F$80:$Q$136,MATCH([13]設定!$D25,[13]第３表!$C$80:$C$136,0),4),[13]設定!$H25))</f>
        <v>12.3</v>
      </c>
      <c r="I11" s="54">
        <f>IF($D11="","",IF([13]設定!$H25="",INDEX([13]第３表!$F$80:$Q$136,MATCH([13]設定!$D25,[13]第３表!$C$80:$C$136,0),5),[13]設定!$H25))</f>
        <v>19.899999999999999</v>
      </c>
      <c r="J11" s="54">
        <f>IF($D11="","",IF([13]設定!$H25="",INDEX([13]第３表!$F$80:$Q$136,MATCH([13]設定!$D25,[13]第３表!$C$80:$C$136,0),6),[13]設定!$H25))</f>
        <v>167.5</v>
      </c>
      <c r="K11" s="54">
        <f>IF($D11="","",IF([13]設定!$H25="",INDEX([13]第３表!$F$80:$Q$136,MATCH([13]設定!$D25,[13]第３表!$C$80:$C$136,0),7),[13]設定!$H25))</f>
        <v>151.1</v>
      </c>
      <c r="L11" s="55">
        <f>IF($D11="","",IF([13]設定!$H25="",INDEX([13]第３表!$F$80:$Q$136,MATCH([13]設定!$D25,[13]第３表!$C$80:$C$136,0),8),[13]設定!$H25))</f>
        <v>16.399999999999999</v>
      </c>
      <c r="M11" s="56">
        <f>IF($D11="","",IF([13]設定!$H25="",INDEX([13]第３表!$F$80:$Q$136,MATCH([13]設定!$D25,[13]第３表!$C$80:$C$136,0),9),[13]設定!$H25))</f>
        <v>18.8</v>
      </c>
      <c r="N11" s="56">
        <f>IF($D11="","",IF([13]設定!$H25="",INDEX([13]第３表!$F$80:$Q$136,MATCH([13]設定!$D25,[13]第３表!$C$80:$C$136,0),10),[13]設定!$H25))</f>
        <v>143.19999999999999</v>
      </c>
      <c r="O11" s="56">
        <f>IF($D11="","",IF([13]設定!$H25="",INDEX([13]第３表!$F$80:$Q$136,MATCH([13]設定!$D25,[13]第３表!$C$80:$C$136,0),11),[13]設定!$H25))</f>
        <v>136.4</v>
      </c>
      <c r="P11" s="57">
        <f>IF($D11="","",IF([13]設定!$H25="",INDEX([13]第３表!$F$80:$Q$136,MATCH([13]設定!$D25,[13]第３表!$C$80:$C$136,0),12),[13]設定!$H25))</f>
        <v>6.8</v>
      </c>
    </row>
    <row r="12" spans="1:18" s="8" customFormat="1" ht="17.25" customHeight="1" x14ac:dyDescent="0.45">
      <c r="B12" s="49" t="str">
        <f>+[14]第５表!B12</f>
        <v>F</v>
      </c>
      <c r="C12" s="50"/>
      <c r="D12" s="58" t="str">
        <f>+[14]第５表!D12</f>
        <v>電気・ガス・熱供給・水道業</v>
      </c>
      <c r="E12" s="52">
        <f>IF($D12="","",IF([13]設定!$H26="",INDEX([13]第３表!$F$80:$Q$136,MATCH([13]設定!$D26,[13]第３表!$C$80:$C$136,0),1),[13]設定!$H26))</f>
        <v>18.399999999999999</v>
      </c>
      <c r="F12" s="52">
        <f>IF($D12="","",IF([13]設定!$H26="",INDEX([13]第３表!$F$80:$Q$136,MATCH([13]設定!$D26,[13]第３表!$C$80:$C$136,0),2),[13]設定!$H26))</f>
        <v>148.69999999999999</v>
      </c>
      <c r="G12" s="52">
        <f>IF($D12="","",IF([13]設定!$H26="",INDEX([13]第３表!$F$80:$Q$136,MATCH([13]設定!$D26,[13]第３表!$C$80:$C$136,0),3),[13]設定!$H26))</f>
        <v>133.69999999999999</v>
      </c>
      <c r="H12" s="53">
        <f>IF($D12="","",IF([13]設定!$H26="",INDEX([13]第３表!$F$80:$Q$136,MATCH([13]設定!$D26,[13]第３表!$C$80:$C$136,0),4),[13]設定!$H26))</f>
        <v>15</v>
      </c>
      <c r="I12" s="54">
        <f>IF($D12="","",IF([13]設定!$H26="",INDEX([13]第３表!$F$80:$Q$136,MATCH([13]設定!$D26,[13]第３表!$C$80:$C$136,0),5),[13]設定!$H26))</f>
        <v>18.399999999999999</v>
      </c>
      <c r="J12" s="54">
        <f>IF($D12="","",IF([13]設定!$H26="",INDEX([13]第３表!$F$80:$Q$136,MATCH([13]設定!$D26,[13]第３表!$C$80:$C$136,0),6),[13]設定!$H26))</f>
        <v>152</v>
      </c>
      <c r="K12" s="54">
        <f>IF($D12="","",IF([13]設定!$H26="",INDEX([13]第３表!$F$80:$Q$136,MATCH([13]設定!$D26,[13]第３表!$C$80:$C$136,0),7),[13]設定!$H26))</f>
        <v>135.19999999999999</v>
      </c>
      <c r="L12" s="55">
        <f>IF($D12="","",IF([13]設定!$H26="",INDEX([13]第３表!$F$80:$Q$136,MATCH([13]設定!$D26,[13]第３表!$C$80:$C$136,0),8),[13]設定!$H26))</f>
        <v>16.8</v>
      </c>
      <c r="M12" s="56">
        <f>IF($D12="","",IF([13]設定!$H26="",INDEX([13]第３表!$F$80:$Q$136,MATCH([13]設定!$D26,[13]第３表!$C$80:$C$136,0),9),[13]設定!$H26))</f>
        <v>18.3</v>
      </c>
      <c r="N12" s="56">
        <f>IF($D12="","",IF([13]設定!$H26="",INDEX([13]第３表!$F$80:$Q$136,MATCH([13]設定!$D26,[13]第３表!$C$80:$C$136,0),10),[13]設定!$H26))</f>
        <v>128.30000000000001</v>
      </c>
      <c r="O12" s="56">
        <f>IF($D12="","",IF([13]設定!$H26="",INDEX([13]第３表!$F$80:$Q$136,MATCH([13]設定!$D26,[13]第３表!$C$80:$C$136,0),11),[13]設定!$H26))</f>
        <v>124.3</v>
      </c>
      <c r="P12" s="57">
        <f>IF($D12="","",IF([13]設定!$H26="",INDEX([13]第３表!$F$80:$Q$136,MATCH([13]設定!$D26,[13]第３表!$C$80:$C$136,0),12),[13]設定!$H26))</f>
        <v>4</v>
      </c>
    </row>
    <row r="13" spans="1:18" s="8" customFormat="1" ht="17.25" customHeight="1" x14ac:dyDescent="0.45">
      <c r="B13" s="49" t="str">
        <f>+[14]第５表!B13</f>
        <v>G</v>
      </c>
      <c r="C13" s="50"/>
      <c r="D13" s="51" t="str">
        <f>+[14]第５表!D13</f>
        <v>情報通信業</v>
      </c>
      <c r="E13" s="52">
        <f>IF($D13="","",IF([13]設定!$H27="",INDEX([13]第３表!$F$80:$Q$136,MATCH([13]設定!$D27,[13]第３表!$C$80:$C$136,0),1),[13]設定!$H27))</f>
        <v>18.899999999999999</v>
      </c>
      <c r="F13" s="52">
        <f>IF($D13="","",IF([13]設定!$H27="",INDEX([13]第３表!$F$80:$Q$136,MATCH([13]設定!$D27,[13]第３表!$C$80:$C$136,0),2),[13]設定!$H27))</f>
        <v>155.4</v>
      </c>
      <c r="G13" s="52">
        <f>IF($D13="","",IF([13]設定!$H27="",INDEX([13]第３表!$F$80:$Q$136,MATCH([13]設定!$D27,[13]第３表!$C$80:$C$136,0),3),[13]設定!$H27))</f>
        <v>145.5</v>
      </c>
      <c r="H13" s="53">
        <f>IF($D13="","",IF([13]設定!$H27="",INDEX([13]第３表!$F$80:$Q$136,MATCH([13]設定!$D27,[13]第３表!$C$80:$C$136,0),4),[13]設定!$H27))</f>
        <v>9.9</v>
      </c>
      <c r="I13" s="54">
        <f>IF($D13="","",IF([13]設定!$H27="",INDEX([13]第３表!$F$80:$Q$136,MATCH([13]設定!$D27,[13]第３表!$C$80:$C$136,0),5),[13]設定!$H27))</f>
        <v>19</v>
      </c>
      <c r="J13" s="54">
        <f>IF($D13="","",IF([13]設定!$H27="",INDEX([13]第３表!$F$80:$Q$136,MATCH([13]設定!$D27,[13]第３表!$C$80:$C$136,0),6),[13]設定!$H27))</f>
        <v>158.19999999999999</v>
      </c>
      <c r="K13" s="54">
        <f>IF($D13="","",IF([13]設定!$H27="",INDEX([13]第３表!$F$80:$Q$136,MATCH([13]設定!$D27,[13]第３表!$C$80:$C$136,0),7),[13]設定!$H27))</f>
        <v>147.80000000000001</v>
      </c>
      <c r="L13" s="55">
        <f>IF($D13="","",IF([13]設定!$H27="",INDEX([13]第３表!$F$80:$Q$136,MATCH([13]設定!$D27,[13]第３表!$C$80:$C$136,0),8),[13]設定!$H27))</f>
        <v>10.4</v>
      </c>
      <c r="M13" s="56">
        <f>IF($D13="","",IF([13]設定!$H27="",INDEX([13]第３表!$F$80:$Q$136,MATCH([13]設定!$D27,[13]第３表!$C$80:$C$136,0),9),[13]設定!$H27))</f>
        <v>18.600000000000001</v>
      </c>
      <c r="N13" s="56">
        <f>IF($D13="","",IF([13]設定!$H27="",INDEX([13]第３表!$F$80:$Q$136,MATCH([13]設定!$D27,[13]第３表!$C$80:$C$136,0),10),[13]設定!$H27))</f>
        <v>148.9</v>
      </c>
      <c r="O13" s="56">
        <f>IF($D13="","",IF([13]設定!$H27="",INDEX([13]第３表!$F$80:$Q$136,MATCH([13]設定!$D27,[13]第３表!$C$80:$C$136,0),11),[13]設定!$H27))</f>
        <v>140.1</v>
      </c>
      <c r="P13" s="57">
        <f>IF($D13="","",IF([13]設定!$H27="",INDEX([13]第３表!$F$80:$Q$136,MATCH([13]設定!$D27,[13]第３表!$C$80:$C$136,0),12),[13]設定!$H27))</f>
        <v>8.8000000000000007</v>
      </c>
    </row>
    <row r="14" spans="1:18" s="8" customFormat="1" ht="17.25" customHeight="1" x14ac:dyDescent="0.45">
      <c r="B14" s="49" t="str">
        <f>+[14]第５表!B14</f>
        <v>H</v>
      </c>
      <c r="C14" s="50"/>
      <c r="D14" s="51" t="str">
        <f>+[14]第５表!D14</f>
        <v>運輸業，郵便業</v>
      </c>
      <c r="E14" s="52">
        <f>IF($D14="","",IF([13]設定!$H28="",INDEX([13]第３表!$F$80:$Q$136,MATCH([13]設定!$D28,[13]第３表!$C$80:$C$136,0),1),[13]設定!$H28))</f>
        <v>20.6</v>
      </c>
      <c r="F14" s="52">
        <f>IF($D14="","",IF([13]設定!$H28="",INDEX([13]第３表!$F$80:$Q$136,MATCH([13]設定!$D28,[13]第３表!$C$80:$C$136,0),2),[13]設定!$H28))</f>
        <v>183</v>
      </c>
      <c r="G14" s="52">
        <f>IF($D14="","",IF([13]設定!$H28="",INDEX([13]第３表!$F$80:$Q$136,MATCH([13]設定!$D28,[13]第３表!$C$80:$C$136,0),3),[13]設定!$H28))</f>
        <v>151.6</v>
      </c>
      <c r="H14" s="53">
        <f>IF($D14="","",IF([13]設定!$H28="",INDEX([13]第３表!$F$80:$Q$136,MATCH([13]設定!$D28,[13]第３表!$C$80:$C$136,0),4),[13]設定!$H28))</f>
        <v>31.4</v>
      </c>
      <c r="I14" s="54">
        <f>IF($D14="","",IF([13]設定!$H28="",INDEX([13]第３表!$F$80:$Q$136,MATCH([13]設定!$D28,[13]第３表!$C$80:$C$136,0),5),[13]設定!$H28))</f>
        <v>20.7</v>
      </c>
      <c r="J14" s="54">
        <f>IF($D14="","",IF([13]設定!$H28="",INDEX([13]第３表!$F$80:$Q$136,MATCH([13]設定!$D28,[13]第３表!$C$80:$C$136,0),6),[13]設定!$H28))</f>
        <v>187.3</v>
      </c>
      <c r="K14" s="54">
        <f>IF($D14="","",IF([13]設定!$H28="",INDEX([13]第３表!$F$80:$Q$136,MATCH([13]設定!$D28,[13]第３表!$C$80:$C$136,0),7),[13]設定!$H28))</f>
        <v>153.19999999999999</v>
      </c>
      <c r="L14" s="55">
        <f>IF($D14="","",IF([13]設定!$H28="",INDEX([13]第３表!$F$80:$Q$136,MATCH([13]設定!$D28,[13]第３表!$C$80:$C$136,0),8),[13]設定!$H28))</f>
        <v>34.1</v>
      </c>
      <c r="M14" s="56">
        <f>IF($D14="","",IF([13]設定!$H28="",INDEX([13]第３表!$F$80:$Q$136,MATCH([13]設定!$D28,[13]第３表!$C$80:$C$136,0),9),[13]設定!$H28))</f>
        <v>20</v>
      </c>
      <c r="N14" s="56">
        <f>IF($D14="","",IF([13]設定!$H28="",INDEX([13]第３表!$F$80:$Q$136,MATCH([13]設定!$D28,[13]第３表!$C$80:$C$136,0),10),[13]設定!$H28))</f>
        <v>145.5</v>
      </c>
      <c r="O14" s="56">
        <f>IF($D14="","",IF([13]設定!$H28="",INDEX([13]第３表!$F$80:$Q$136,MATCH([13]設定!$D28,[13]第３表!$C$80:$C$136,0),11),[13]設定!$H28))</f>
        <v>137.80000000000001</v>
      </c>
      <c r="P14" s="57">
        <f>IF($D14="","",IF([13]設定!$H28="",INDEX([13]第３表!$F$80:$Q$136,MATCH([13]設定!$D28,[13]第３表!$C$80:$C$136,0),12),[13]設定!$H28))</f>
        <v>7.7</v>
      </c>
    </row>
    <row r="15" spans="1:18" s="8" customFormat="1" ht="17.25" customHeight="1" x14ac:dyDescent="0.45">
      <c r="B15" s="49" t="str">
        <f>+[14]第５表!B15</f>
        <v>I</v>
      </c>
      <c r="C15" s="50"/>
      <c r="D15" s="51" t="str">
        <f>+[14]第５表!D15</f>
        <v>卸売業，小売業</v>
      </c>
      <c r="E15" s="52">
        <f>IF($D15="","",IF([13]設定!$H29="",INDEX([13]第３表!$F$80:$Q$136,MATCH([13]設定!$D29,[13]第３表!$C$80:$C$136,0),1),[13]設定!$H29))</f>
        <v>18.3</v>
      </c>
      <c r="F15" s="52">
        <f>IF($D15="","",IF([13]設定!$H29="",INDEX([13]第３表!$F$80:$Q$136,MATCH([13]設定!$D29,[13]第３表!$C$80:$C$136,0),2),[13]設定!$H29))</f>
        <v>135.9</v>
      </c>
      <c r="G15" s="52">
        <f>IF($D15="","",IF([13]設定!$H29="",INDEX([13]第３表!$F$80:$Q$136,MATCH([13]設定!$D29,[13]第３表!$C$80:$C$136,0),3),[13]設定!$H29))</f>
        <v>127.3</v>
      </c>
      <c r="H15" s="53">
        <f>IF($D15="","",IF([13]設定!$H29="",INDEX([13]第３表!$F$80:$Q$136,MATCH([13]設定!$D29,[13]第３表!$C$80:$C$136,0),4),[13]設定!$H29))</f>
        <v>8.6</v>
      </c>
      <c r="I15" s="54">
        <f>IF($D15="","",IF([13]設定!$H29="",INDEX([13]第３表!$F$80:$Q$136,MATCH([13]設定!$D29,[13]第３表!$C$80:$C$136,0),5),[13]設定!$H29))</f>
        <v>19.2</v>
      </c>
      <c r="J15" s="54">
        <f>IF($D15="","",IF([13]設定!$H29="",INDEX([13]第３表!$F$80:$Q$136,MATCH([13]設定!$D29,[13]第３表!$C$80:$C$136,0),6),[13]設定!$H29))</f>
        <v>156.5</v>
      </c>
      <c r="K15" s="54">
        <f>IF($D15="","",IF([13]設定!$H29="",INDEX([13]第３表!$F$80:$Q$136,MATCH([13]設定!$D29,[13]第３表!$C$80:$C$136,0),7),[13]設定!$H29))</f>
        <v>143.30000000000001</v>
      </c>
      <c r="L15" s="55">
        <f>IF($D15="","",IF([13]設定!$H29="",INDEX([13]第３表!$F$80:$Q$136,MATCH([13]設定!$D29,[13]第３表!$C$80:$C$136,0),8),[13]設定!$H29))</f>
        <v>13.2</v>
      </c>
      <c r="M15" s="56">
        <f>IF($D15="","",IF([13]設定!$H29="",INDEX([13]第３表!$F$80:$Q$136,MATCH([13]設定!$D29,[13]第３表!$C$80:$C$136,0),9),[13]設定!$H29))</f>
        <v>17.3</v>
      </c>
      <c r="N15" s="56">
        <f>IF($D15="","",IF([13]設定!$H29="",INDEX([13]第３表!$F$80:$Q$136,MATCH([13]設定!$D29,[13]第３表!$C$80:$C$136,0),10),[13]設定!$H29))</f>
        <v>112.7</v>
      </c>
      <c r="O15" s="56">
        <f>IF($D15="","",IF([13]設定!$H29="",INDEX([13]第３表!$F$80:$Q$136,MATCH([13]設定!$D29,[13]第３表!$C$80:$C$136,0),11),[13]設定!$H29))</f>
        <v>109.3</v>
      </c>
      <c r="P15" s="57">
        <f>IF($D15="","",IF([13]設定!$H29="",INDEX([13]第３表!$F$80:$Q$136,MATCH([13]設定!$D29,[13]第３表!$C$80:$C$136,0),12),[13]設定!$H29))</f>
        <v>3.4</v>
      </c>
    </row>
    <row r="16" spans="1:18" s="8" customFormat="1" ht="17.25" customHeight="1" x14ac:dyDescent="0.45">
      <c r="B16" s="49" t="str">
        <f>+[14]第５表!B16</f>
        <v>J</v>
      </c>
      <c r="C16" s="50"/>
      <c r="D16" s="51" t="str">
        <f>+[14]第５表!D16</f>
        <v>金融業，保険業</v>
      </c>
      <c r="E16" s="52">
        <f>IF($D16="","",IF([13]設定!$H30="",INDEX([13]第３表!$F$80:$Q$136,MATCH([13]設定!$D30,[13]第３表!$C$80:$C$136,0),1),[13]設定!$H30))</f>
        <v>18.2</v>
      </c>
      <c r="F16" s="52">
        <f>IF($D16="","",IF([13]設定!$H30="",INDEX([13]第３表!$F$80:$Q$136,MATCH([13]設定!$D30,[13]第３表!$C$80:$C$136,0),2),[13]設定!$H30))</f>
        <v>141</v>
      </c>
      <c r="G16" s="52">
        <f>IF($D16="","",IF([13]設定!$H30="",INDEX([13]第３表!$F$80:$Q$136,MATCH([13]設定!$D30,[13]第３表!$C$80:$C$136,0),3),[13]設定!$H30))</f>
        <v>135.4</v>
      </c>
      <c r="H16" s="53">
        <f>IF($D16="","",IF([13]設定!$H30="",INDEX([13]第３表!$F$80:$Q$136,MATCH([13]設定!$D30,[13]第３表!$C$80:$C$136,0),4),[13]設定!$H30))</f>
        <v>5.6</v>
      </c>
      <c r="I16" s="54">
        <f>IF($D16="","",IF([13]設定!$H30="",INDEX([13]第３表!$F$80:$Q$136,MATCH([13]設定!$D30,[13]第３表!$C$80:$C$136,0),5),[13]設定!$H30))</f>
        <v>18.600000000000001</v>
      </c>
      <c r="J16" s="54">
        <f>IF($D16="","",IF([13]設定!$H30="",INDEX([13]第３表!$F$80:$Q$136,MATCH([13]設定!$D30,[13]第３表!$C$80:$C$136,0),6),[13]設定!$H30))</f>
        <v>147.30000000000001</v>
      </c>
      <c r="K16" s="54">
        <f>IF($D16="","",IF([13]設定!$H30="",INDEX([13]第３表!$F$80:$Q$136,MATCH([13]設定!$D30,[13]第３表!$C$80:$C$136,0),7),[13]設定!$H30))</f>
        <v>139.9</v>
      </c>
      <c r="L16" s="55">
        <f>IF($D16="","",IF([13]設定!$H30="",INDEX([13]第３表!$F$80:$Q$136,MATCH([13]設定!$D30,[13]第３表!$C$80:$C$136,0),8),[13]設定!$H30))</f>
        <v>7.4</v>
      </c>
      <c r="M16" s="56">
        <f>IF($D16="","",IF([13]設定!$H30="",INDEX([13]第３表!$F$80:$Q$136,MATCH([13]設定!$D30,[13]第３表!$C$80:$C$136,0),9),[13]設定!$H30))</f>
        <v>17.600000000000001</v>
      </c>
      <c r="N16" s="56">
        <f>IF($D16="","",IF([13]設定!$H30="",INDEX([13]第３表!$F$80:$Q$136,MATCH([13]設定!$D30,[13]第３表!$C$80:$C$136,0),10),[13]設定!$H30))</f>
        <v>131.9</v>
      </c>
      <c r="O16" s="56">
        <f>IF($D16="","",IF([13]設定!$H30="",INDEX([13]第３表!$F$80:$Q$136,MATCH([13]設定!$D30,[13]第３表!$C$80:$C$136,0),11),[13]設定!$H30))</f>
        <v>128.9</v>
      </c>
      <c r="P16" s="57">
        <f>IF($D16="","",IF([13]設定!$H30="",INDEX([13]第３表!$F$80:$Q$136,MATCH([13]設定!$D30,[13]第３表!$C$80:$C$136,0),12),[13]設定!$H30))</f>
        <v>3</v>
      </c>
    </row>
    <row r="17" spans="2:16" s="8" customFormat="1" ht="17.25" customHeight="1" x14ac:dyDescent="0.45">
      <c r="B17" s="49" t="str">
        <f>+[14]第５表!B17</f>
        <v>K</v>
      </c>
      <c r="C17" s="50"/>
      <c r="D17" s="51" t="str">
        <f>+[14]第５表!D17</f>
        <v>不動産業，物品賃貸業</v>
      </c>
      <c r="E17" s="52">
        <f>IF($D17="","",IF([13]設定!$H31="",INDEX([13]第３表!$F$80:$Q$136,MATCH([13]設定!$D31,[13]第３表!$C$80:$C$136,0),1),[13]設定!$H31))</f>
        <v>16.7</v>
      </c>
      <c r="F17" s="52">
        <f>IF($D17="","",IF([13]設定!$H31="",INDEX([13]第３表!$F$80:$Q$136,MATCH([13]設定!$D31,[13]第３表!$C$80:$C$136,0),2),[13]設定!$H31))</f>
        <v>112.1</v>
      </c>
      <c r="G17" s="52">
        <f>IF($D17="","",IF([13]設定!$H31="",INDEX([13]第３表!$F$80:$Q$136,MATCH([13]設定!$D31,[13]第３表!$C$80:$C$136,0),3),[13]設定!$H31))</f>
        <v>109.9</v>
      </c>
      <c r="H17" s="52">
        <f>IF($D17="","",IF([13]設定!$H31="",INDEX([13]第３表!$F$80:$Q$136,MATCH([13]設定!$D31,[13]第３表!$C$80:$C$136,0),4),[13]設定!$H31))</f>
        <v>2.2000000000000002</v>
      </c>
      <c r="I17" s="54">
        <f>IF($D17="","",IF([13]設定!$H31="",INDEX([13]第３表!$F$80:$Q$136,MATCH([13]設定!$D31,[13]第３表!$C$80:$C$136,0),5),[13]設定!$H31))</f>
        <v>18.2</v>
      </c>
      <c r="J17" s="54">
        <f>IF($D17="","",IF([13]設定!$H31="",INDEX([13]第３表!$F$80:$Q$136,MATCH([13]設定!$D31,[13]第３表!$C$80:$C$136,0),6),[13]設定!$H31))</f>
        <v>126.5</v>
      </c>
      <c r="K17" s="54">
        <f>IF($D17="","",IF([13]設定!$H31="",INDEX([13]第３表!$F$80:$Q$136,MATCH([13]設定!$D31,[13]第３表!$C$80:$C$136,0),7),[13]設定!$H31))</f>
        <v>123.1</v>
      </c>
      <c r="L17" s="55">
        <f>IF($D17="","",IF([13]設定!$H31="",INDEX([13]第３表!$F$80:$Q$136,MATCH([13]設定!$D31,[13]第３表!$C$80:$C$136,0),8),[13]設定!$H31))</f>
        <v>3.4</v>
      </c>
      <c r="M17" s="56">
        <f>IF($D17="","",IF([13]設定!$H31="",INDEX([13]第３表!$F$80:$Q$136,MATCH([13]設定!$D31,[13]第３表!$C$80:$C$136,0),9),[13]設定!$H31))</f>
        <v>14.1</v>
      </c>
      <c r="N17" s="56">
        <f>IF($D17="","",IF([13]設定!$H31="",INDEX([13]第３表!$F$80:$Q$136,MATCH([13]設定!$D31,[13]第３表!$C$80:$C$136,0),10),[13]設定!$H31))</f>
        <v>88.1</v>
      </c>
      <c r="O17" s="56">
        <f>IF($D17="","",IF([13]設定!$H31="",INDEX([13]第３表!$F$80:$Q$136,MATCH([13]設定!$D31,[13]第３表!$C$80:$C$136,0),11),[13]設定!$H31))</f>
        <v>87.8</v>
      </c>
      <c r="P17" s="57">
        <f>IF($D17="","",IF([13]設定!$H31="",INDEX([13]第３表!$F$80:$Q$136,MATCH([13]設定!$D31,[13]第３表!$C$80:$C$136,0),12),[13]設定!$H31))</f>
        <v>0.3</v>
      </c>
    </row>
    <row r="18" spans="2:16" s="8" customFormat="1" ht="17.25" customHeight="1" x14ac:dyDescent="0.45">
      <c r="B18" s="49" t="str">
        <f>+[14]第５表!B18</f>
        <v>L</v>
      </c>
      <c r="C18" s="50"/>
      <c r="D18" s="59" t="str">
        <f>+[14]第５表!D18</f>
        <v>学術研究，専門・技術サービス業</v>
      </c>
      <c r="E18" s="52">
        <f>IF($D18="","",IF([13]設定!$H32="",INDEX([13]第３表!$F$80:$Q$136,MATCH([13]設定!$D32,[13]第３表!$C$80:$C$136,0),1),[13]設定!$H32))</f>
        <v>19.399999999999999</v>
      </c>
      <c r="F18" s="52">
        <f>IF($D18="","",IF([13]設定!$H32="",INDEX([13]第３表!$F$80:$Q$136,MATCH([13]設定!$D32,[13]第３表!$C$80:$C$136,0),2),[13]設定!$H32))</f>
        <v>155.1</v>
      </c>
      <c r="G18" s="52">
        <f>IF($D18="","",IF([13]設定!$H32="",INDEX([13]第３表!$F$80:$Q$136,MATCH([13]設定!$D32,[13]第３表!$C$80:$C$136,0),3),[13]設定!$H32))</f>
        <v>148.1</v>
      </c>
      <c r="H18" s="53">
        <f>IF($D18="","",IF([13]設定!$H32="",INDEX([13]第３表!$F$80:$Q$136,MATCH([13]設定!$D32,[13]第３表!$C$80:$C$136,0),4),[13]設定!$H32))</f>
        <v>7</v>
      </c>
      <c r="I18" s="54">
        <f>IF($D18="","",IF([13]設定!$H32="",INDEX([13]第３表!$F$80:$Q$136,MATCH([13]設定!$D32,[13]第３表!$C$80:$C$136,0),5),[13]設定!$H32))</f>
        <v>19.2</v>
      </c>
      <c r="J18" s="54">
        <f>IF($D18="","",IF([13]設定!$H32="",INDEX([13]第３表!$F$80:$Q$136,MATCH([13]設定!$D32,[13]第３表!$C$80:$C$136,0),6),[13]設定!$H32))</f>
        <v>164.3</v>
      </c>
      <c r="K18" s="54">
        <f>IF($D18="","",IF([13]設定!$H32="",INDEX([13]第３表!$F$80:$Q$136,MATCH([13]設定!$D32,[13]第３表!$C$80:$C$136,0),7),[13]設定!$H32))</f>
        <v>157.1</v>
      </c>
      <c r="L18" s="55">
        <f>IF($D18="","",IF([13]設定!$H32="",INDEX([13]第３表!$F$80:$Q$136,MATCH([13]設定!$D32,[13]第３表!$C$80:$C$136,0),8),[13]設定!$H32))</f>
        <v>7.2</v>
      </c>
      <c r="M18" s="56">
        <f>IF($D18="","",IF([13]設定!$H32="",INDEX([13]第３表!$F$80:$Q$136,MATCH([13]設定!$D32,[13]第３表!$C$80:$C$136,0),9),[13]設定!$H32))</f>
        <v>19.7</v>
      </c>
      <c r="N18" s="56">
        <f>IF($D18="","",IF([13]設定!$H32="",INDEX([13]第３表!$F$80:$Q$136,MATCH([13]設定!$D32,[13]第３表!$C$80:$C$136,0),10),[13]設定!$H32))</f>
        <v>139</v>
      </c>
      <c r="O18" s="56">
        <f>IF($D18="","",IF([13]設定!$H32="",INDEX([13]第３表!$F$80:$Q$136,MATCH([13]設定!$D32,[13]第３表!$C$80:$C$136,0),11),[13]設定!$H32))</f>
        <v>132.4</v>
      </c>
      <c r="P18" s="57">
        <f>IF($D18="","",IF([13]設定!$H32="",INDEX([13]第３表!$F$80:$Q$136,MATCH([13]設定!$D32,[13]第３表!$C$80:$C$136,0),12),[13]設定!$H32))</f>
        <v>6.6</v>
      </c>
    </row>
    <row r="19" spans="2:16" s="8" customFormat="1" ht="17.25" customHeight="1" x14ac:dyDescent="0.45">
      <c r="B19" s="49" t="str">
        <f>+[14]第５表!B19</f>
        <v>M</v>
      </c>
      <c r="C19" s="50"/>
      <c r="D19" s="60" t="str">
        <f>+[14]第５表!D19</f>
        <v>宿泊業，飲食サービス業</v>
      </c>
      <c r="E19" s="52">
        <f>IF($D19="","",IF([13]設定!$H33="",INDEX([13]第３表!$F$80:$Q$136,MATCH([13]設定!$D33,[13]第３表!$C$80:$C$136,0),1),[13]設定!$H33))</f>
        <v>15.1</v>
      </c>
      <c r="F19" s="52">
        <f>IF($D19="","",IF([13]設定!$H33="",INDEX([13]第３表!$F$80:$Q$136,MATCH([13]設定!$D33,[13]第３表!$C$80:$C$136,0),2),[13]設定!$H33))</f>
        <v>87</v>
      </c>
      <c r="G19" s="52">
        <f>IF($D19="","",IF([13]設定!$H33="",INDEX([13]第３表!$F$80:$Q$136,MATCH([13]設定!$D33,[13]第３表!$C$80:$C$136,0),3),[13]設定!$H33))</f>
        <v>82.7</v>
      </c>
      <c r="H19" s="53">
        <f>IF($D19="","",IF([13]設定!$H33="",INDEX([13]第３表!$F$80:$Q$136,MATCH([13]設定!$D33,[13]第３表!$C$80:$C$136,0),4),[13]設定!$H33))</f>
        <v>4.3</v>
      </c>
      <c r="I19" s="54">
        <f>IF($D19="","",IF([13]設定!$H33="",INDEX([13]第３表!$F$80:$Q$136,MATCH([13]設定!$D33,[13]第３表!$C$80:$C$136,0),5),[13]設定!$H33))</f>
        <v>16.8</v>
      </c>
      <c r="J19" s="54">
        <f>IF($D19="","",IF([13]設定!$H33="",INDEX([13]第３表!$F$80:$Q$136,MATCH([13]設定!$D33,[13]第３表!$C$80:$C$136,0),6),[13]設定!$H33))</f>
        <v>104.4</v>
      </c>
      <c r="K19" s="54">
        <f>IF($D19="","",IF([13]設定!$H33="",INDEX([13]第３表!$F$80:$Q$136,MATCH([13]設定!$D33,[13]第３表!$C$80:$C$136,0),7),[13]設定!$H33))</f>
        <v>95.8</v>
      </c>
      <c r="L19" s="55">
        <f>IF($D19="","",IF([13]設定!$H33="",INDEX([13]第３表!$F$80:$Q$136,MATCH([13]設定!$D33,[13]第３表!$C$80:$C$136,0),8),[13]設定!$H33))</f>
        <v>8.6</v>
      </c>
      <c r="M19" s="56">
        <f>IF($D19="","",IF([13]設定!$H33="",INDEX([13]第３表!$F$80:$Q$136,MATCH([13]設定!$D33,[13]第３表!$C$80:$C$136,0),9),[13]設定!$H33))</f>
        <v>14</v>
      </c>
      <c r="N19" s="56">
        <f>IF($D19="","",IF([13]設定!$H33="",INDEX([13]第３表!$F$80:$Q$136,MATCH([13]設定!$D33,[13]第３表!$C$80:$C$136,0),10),[13]設定!$H33))</f>
        <v>76.2</v>
      </c>
      <c r="O19" s="56">
        <f>IF($D19="","",IF([13]設定!$H33="",INDEX([13]第３表!$F$80:$Q$136,MATCH([13]設定!$D33,[13]第３表!$C$80:$C$136,0),11),[13]設定!$H33))</f>
        <v>74.599999999999994</v>
      </c>
      <c r="P19" s="57">
        <f>IF($D19="","",IF([13]設定!$H33="",INDEX([13]第３表!$F$80:$Q$136,MATCH([13]設定!$D33,[13]第３表!$C$80:$C$136,0),12),[13]設定!$H33))</f>
        <v>1.6</v>
      </c>
    </row>
    <row r="20" spans="2:16" s="8" customFormat="1" ht="17.25" customHeight="1" x14ac:dyDescent="0.45">
      <c r="B20" s="49" t="str">
        <f>+[14]第５表!B20</f>
        <v>N</v>
      </c>
      <c r="C20" s="50"/>
      <c r="D20" s="61" t="str">
        <f>+[14]第５表!D20</f>
        <v>生活関連サービス業，娯楽業</v>
      </c>
      <c r="E20" s="52">
        <f>IF($D20="","",IF([13]設定!$H34="",INDEX([13]第３表!$F$80:$Q$136,MATCH([13]設定!$D34,[13]第３表!$C$80:$C$136,0),1),[13]設定!$H34))</f>
        <v>16.3</v>
      </c>
      <c r="F20" s="52">
        <f>IF($D20="","",IF([13]設定!$H34="",INDEX([13]第３表!$F$80:$Q$136,MATCH([13]設定!$D34,[13]第３表!$C$80:$C$136,0),2),[13]設定!$H34))</f>
        <v>131.4</v>
      </c>
      <c r="G20" s="52">
        <f>IF($D20="","",IF([13]設定!$H34="",INDEX([13]第３表!$F$80:$Q$136,MATCH([13]設定!$D34,[13]第３表!$C$80:$C$136,0),3),[13]設定!$H34))</f>
        <v>121.4</v>
      </c>
      <c r="H20" s="53">
        <f>IF($D20="","",IF([13]設定!$H34="",INDEX([13]第３表!$F$80:$Q$136,MATCH([13]設定!$D34,[13]第３表!$C$80:$C$136,0),4),[13]設定!$H34))</f>
        <v>10</v>
      </c>
      <c r="I20" s="54">
        <f>IF($D20="","",IF([13]設定!$H34="",INDEX([13]第３表!$F$80:$Q$136,MATCH([13]設定!$D34,[13]第３表!$C$80:$C$136,0),5),[13]設定!$H34))</f>
        <v>15.8</v>
      </c>
      <c r="J20" s="54">
        <f>IF($D20="","",IF([13]設定!$H34="",INDEX([13]第３表!$F$80:$Q$136,MATCH([13]設定!$D34,[13]第３表!$C$80:$C$136,0),6),[13]設定!$H34))</f>
        <v>128.4</v>
      </c>
      <c r="K20" s="54">
        <f>IF($D20="","",IF([13]設定!$H34="",INDEX([13]第３表!$F$80:$Q$136,MATCH([13]設定!$D34,[13]第３表!$C$80:$C$136,0),7),[13]設定!$H34))</f>
        <v>118.2</v>
      </c>
      <c r="L20" s="55">
        <f>IF($D20="","",IF([13]設定!$H34="",INDEX([13]第３表!$F$80:$Q$136,MATCH([13]設定!$D34,[13]第３表!$C$80:$C$136,0),8),[13]設定!$H34))</f>
        <v>10.199999999999999</v>
      </c>
      <c r="M20" s="56">
        <f>IF($D20="","",IF([13]設定!$H34="",INDEX([13]第３表!$F$80:$Q$136,MATCH([13]設定!$D34,[13]第３表!$C$80:$C$136,0),9),[13]設定!$H34))</f>
        <v>17.100000000000001</v>
      </c>
      <c r="N20" s="56">
        <f>IF($D20="","",IF([13]設定!$H34="",INDEX([13]第３表!$F$80:$Q$136,MATCH([13]設定!$D34,[13]第３表!$C$80:$C$136,0),10),[13]設定!$H34))</f>
        <v>136</v>
      </c>
      <c r="O20" s="56">
        <f>IF($D20="","",IF([13]設定!$H34="",INDEX([13]第３表!$F$80:$Q$136,MATCH([13]設定!$D34,[13]第３表!$C$80:$C$136,0),11),[13]設定!$H34))</f>
        <v>126.5</v>
      </c>
      <c r="P20" s="57">
        <f>IF($D20="","",IF([13]設定!$H34="",INDEX([13]第３表!$F$80:$Q$136,MATCH([13]設定!$D34,[13]第３表!$C$80:$C$136,0),12),[13]設定!$H34))</f>
        <v>9.5</v>
      </c>
    </row>
    <row r="21" spans="2:16" s="8" customFormat="1" ht="17.25" customHeight="1" x14ac:dyDescent="0.45">
      <c r="B21" s="49" t="str">
        <f>+[14]第５表!B21</f>
        <v>O</v>
      </c>
      <c r="C21" s="50"/>
      <c r="D21" s="51" t="str">
        <f>+[14]第５表!D21</f>
        <v>教育，学習支援業</v>
      </c>
      <c r="E21" s="52">
        <f>IF($D21="","",IF([13]設定!$H35="",INDEX([13]第３表!$F$80:$Q$136,MATCH([13]設定!$D35,[13]第３表!$C$80:$C$136,0),1),[13]設定!$H35))</f>
        <v>17.399999999999999</v>
      </c>
      <c r="F21" s="52">
        <f>IF($D21="","",IF([13]設定!$H35="",INDEX([13]第３表!$F$80:$Q$136,MATCH([13]設定!$D35,[13]第３表!$C$80:$C$136,0),2),[13]設定!$H35))</f>
        <v>148.69999999999999</v>
      </c>
      <c r="G21" s="52">
        <f>IF($D21="","",IF([13]設定!$H35="",INDEX([13]第３表!$F$80:$Q$136,MATCH([13]設定!$D35,[13]第３表!$C$80:$C$136,0),3),[13]設定!$H35))</f>
        <v>126.4</v>
      </c>
      <c r="H21" s="53">
        <f>IF($D21="","",IF([13]設定!$H35="",INDEX([13]第３表!$F$80:$Q$136,MATCH([13]設定!$D35,[13]第３表!$C$80:$C$136,0),4),[13]設定!$H35))</f>
        <v>22.3</v>
      </c>
      <c r="I21" s="54">
        <f>IF($D21="","",IF([13]設定!$H35="",INDEX([13]第３表!$F$80:$Q$136,MATCH([13]設定!$D35,[13]第３表!$C$80:$C$136,0),5),[13]設定!$H35))</f>
        <v>18</v>
      </c>
      <c r="J21" s="54">
        <f>IF($D21="","",IF([13]設定!$H35="",INDEX([13]第３表!$F$80:$Q$136,MATCH([13]設定!$D35,[13]第３表!$C$80:$C$136,0),6),[13]設定!$H35))</f>
        <v>161.6</v>
      </c>
      <c r="K21" s="54">
        <f>IF($D21="","",IF([13]設定!$H35="",INDEX([13]第３表!$F$80:$Q$136,MATCH([13]設定!$D35,[13]第３表!$C$80:$C$136,0),7),[13]設定!$H35))</f>
        <v>132.19999999999999</v>
      </c>
      <c r="L21" s="55">
        <f>IF($D21="","",IF([13]設定!$H35="",INDEX([13]第３表!$F$80:$Q$136,MATCH([13]設定!$D35,[13]第３表!$C$80:$C$136,0),8),[13]設定!$H35))</f>
        <v>29.4</v>
      </c>
      <c r="M21" s="56">
        <f>IF($D21="","",IF([13]設定!$H35="",INDEX([13]第３表!$F$80:$Q$136,MATCH([13]設定!$D35,[13]第３表!$C$80:$C$136,0),9),[13]設定!$H35))</f>
        <v>16.899999999999999</v>
      </c>
      <c r="N21" s="56">
        <f>IF($D21="","",IF([13]設定!$H35="",INDEX([13]第３表!$F$80:$Q$136,MATCH([13]設定!$D35,[13]第３表!$C$80:$C$136,0),10),[13]設定!$H35))</f>
        <v>138.30000000000001</v>
      </c>
      <c r="O21" s="56">
        <f>IF($D21="","",IF([13]設定!$H35="",INDEX([13]第３表!$F$80:$Q$136,MATCH([13]設定!$D35,[13]第３表!$C$80:$C$136,0),11),[13]設定!$H35))</f>
        <v>121.7</v>
      </c>
      <c r="P21" s="57">
        <f>IF($D21="","",IF([13]設定!$H35="",INDEX([13]第３表!$F$80:$Q$136,MATCH([13]設定!$D35,[13]第３表!$C$80:$C$136,0),12),[13]設定!$H35))</f>
        <v>16.600000000000001</v>
      </c>
    </row>
    <row r="22" spans="2:16" s="8" customFormat="1" ht="17.25" customHeight="1" x14ac:dyDescent="0.45">
      <c r="B22" s="49" t="str">
        <f>+[14]第５表!B22</f>
        <v>P</v>
      </c>
      <c r="C22" s="50"/>
      <c r="D22" s="51" t="str">
        <f>+[14]第５表!D22</f>
        <v>医療，福祉</v>
      </c>
      <c r="E22" s="52">
        <f>IF($D22="","",IF([13]設定!$H36="",INDEX([13]第３表!$F$80:$Q$136,MATCH([13]設定!$D36,[13]第３表!$C$80:$C$136,0),1),[13]設定!$H36))</f>
        <v>18.899999999999999</v>
      </c>
      <c r="F22" s="52">
        <f>IF($D22="","",IF([13]設定!$H36="",INDEX([13]第３表!$F$80:$Q$136,MATCH([13]設定!$D36,[13]第３表!$C$80:$C$136,0),2),[13]設定!$H36))</f>
        <v>142.9</v>
      </c>
      <c r="G22" s="52">
        <f>IF($D22="","",IF([13]設定!$H36="",INDEX([13]第３表!$F$80:$Q$136,MATCH([13]設定!$D36,[13]第３表!$C$80:$C$136,0),3),[13]設定!$H36))</f>
        <v>138.1</v>
      </c>
      <c r="H22" s="53">
        <f>IF($D22="","",IF([13]設定!$H36="",INDEX([13]第３表!$F$80:$Q$136,MATCH([13]設定!$D36,[13]第３表!$C$80:$C$136,0),4),[13]設定!$H36))</f>
        <v>4.8</v>
      </c>
      <c r="I22" s="54">
        <f>IF($D22="","",IF([13]設定!$H36="",INDEX([13]第３表!$F$80:$Q$136,MATCH([13]設定!$D36,[13]第３表!$C$80:$C$136,0),5),[13]設定!$H36))</f>
        <v>19.8</v>
      </c>
      <c r="J22" s="54">
        <f>IF($D22="","",IF([13]設定!$H36="",INDEX([13]第３表!$F$80:$Q$136,MATCH([13]設定!$D36,[13]第３表!$C$80:$C$136,0),6),[13]設定!$H36))</f>
        <v>151</v>
      </c>
      <c r="K22" s="54">
        <f>IF($D22="","",IF([13]設定!$H36="",INDEX([13]第３表!$F$80:$Q$136,MATCH([13]設定!$D36,[13]第３表!$C$80:$C$136,0),7),[13]設定!$H36))</f>
        <v>146.6</v>
      </c>
      <c r="L22" s="55">
        <f>IF($D22="","",IF([13]設定!$H36="",INDEX([13]第３表!$F$80:$Q$136,MATCH([13]設定!$D36,[13]第３表!$C$80:$C$136,0),8),[13]設定!$H36))</f>
        <v>4.4000000000000004</v>
      </c>
      <c r="M22" s="56">
        <f>IF($D22="","",IF([13]設定!$H36="",INDEX([13]第３表!$F$80:$Q$136,MATCH([13]設定!$D36,[13]第３表!$C$80:$C$136,0),9),[13]設定!$H36))</f>
        <v>18.7</v>
      </c>
      <c r="N22" s="56">
        <f>IF($D22="","",IF([13]設定!$H36="",INDEX([13]第３表!$F$80:$Q$136,MATCH([13]設定!$D36,[13]第３表!$C$80:$C$136,0),10),[13]設定!$H36))</f>
        <v>140.4</v>
      </c>
      <c r="O22" s="56">
        <f>IF($D22="","",IF([13]設定!$H36="",INDEX([13]第３表!$F$80:$Q$136,MATCH([13]設定!$D36,[13]第３表!$C$80:$C$136,0),11),[13]設定!$H36))</f>
        <v>135.5</v>
      </c>
      <c r="P22" s="57">
        <f>IF($D22="","",IF([13]設定!$H36="",INDEX([13]第３表!$F$80:$Q$136,MATCH([13]設定!$D36,[13]第３表!$C$80:$C$136,0),12),[13]設定!$H36))</f>
        <v>4.9000000000000004</v>
      </c>
    </row>
    <row r="23" spans="2:16" s="8" customFormat="1" ht="17.25" customHeight="1" x14ac:dyDescent="0.45">
      <c r="B23" s="49" t="str">
        <f>+[14]第５表!B23</f>
        <v>Q</v>
      </c>
      <c r="C23" s="50"/>
      <c r="D23" s="51" t="str">
        <f>+[14]第５表!D23</f>
        <v>複合サービス事業</v>
      </c>
      <c r="E23" s="52">
        <f>IF($D23="","",IF([13]設定!$H37="",INDEX([13]第３表!$F$80:$Q$136,MATCH([13]設定!$D37,[13]第３表!$C$80:$C$136,0),1),[13]設定!$H37))</f>
        <v>19.100000000000001</v>
      </c>
      <c r="F23" s="52">
        <f>IF($D23="","",IF([13]設定!$H37="",INDEX([13]第３表!$F$80:$Q$136,MATCH([13]設定!$D37,[13]第３表!$C$80:$C$136,0),2),[13]設定!$H37))</f>
        <v>152.80000000000001</v>
      </c>
      <c r="G23" s="52">
        <f>IF($D23="","",IF([13]設定!$H37="",INDEX([13]第３表!$F$80:$Q$136,MATCH([13]設定!$D37,[13]第３表!$C$80:$C$136,0),3),[13]設定!$H37))</f>
        <v>148.19999999999999</v>
      </c>
      <c r="H23" s="53">
        <f>IF($D23="","",IF([13]設定!$H37="",INDEX([13]第３表!$F$80:$Q$136,MATCH([13]設定!$D37,[13]第３表!$C$80:$C$136,0),4),[13]設定!$H37))</f>
        <v>4.5999999999999996</v>
      </c>
      <c r="I23" s="54">
        <f>IF($D23="","",IF([13]設定!$H37="",INDEX([13]第３表!$F$80:$Q$136,MATCH([13]設定!$D37,[13]第３表!$C$80:$C$136,0),5),[13]設定!$H37))</f>
        <v>19.3</v>
      </c>
      <c r="J23" s="54">
        <f>IF($D23="","",IF([13]設定!$H37="",INDEX([13]第３表!$F$80:$Q$136,MATCH([13]設定!$D37,[13]第３表!$C$80:$C$136,0),6),[13]設定!$H37))</f>
        <v>157.4</v>
      </c>
      <c r="K23" s="54">
        <f>IF($D23="","",IF([13]設定!$H37="",INDEX([13]第３表!$F$80:$Q$136,MATCH([13]設定!$D37,[13]第３表!$C$80:$C$136,0),7),[13]設定!$H37))</f>
        <v>152.1</v>
      </c>
      <c r="L23" s="55">
        <f>IF($D23="","",IF([13]設定!$H37="",INDEX([13]第３表!$F$80:$Q$136,MATCH([13]設定!$D37,[13]第３表!$C$80:$C$136,0),8),[13]設定!$H37))</f>
        <v>5.3</v>
      </c>
      <c r="M23" s="56">
        <f>IF($D23="","",IF([13]設定!$H37="",INDEX([13]第３表!$F$80:$Q$136,MATCH([13]設定!$D37,[13]第３表!$C$80:$C$136,0),9),[13]設定!$H37))</f>
        <v>18.899999999999999</v>
      </c>
      <c r="N23" s="56">
        <f>IF($D23="","",IF([13]設定!$H37="",INDEX([13]第３表!$F$80:$Q$136,MATCH([13]設定!$D37,[13]第３表!$C$80:$C$136,0),10),[13]設定!$H37))</f>
        <v>144.5</v>
      </c>
      <c r="O23" s="56">
        <f>IF($D23="","",IF([13]設定!$H37="",INDEX([13]第３表!$F$80:$Q$136,MATCH([13]設定!$D37,[13]第３表!$C$80:$C$136,0),11),[13]設定!$H37))</f>
        <v>141.19999999999999</v>
      </c>
      <c r="P23" s="57">
        <f>IF($D23="","",IF([13]設定!$H37="",INDEX([13]第３表!$F$80:$Q$136,MATCH([13]設定!$D37,[13]第３表!$C$80:$C$136,0),12),[13]設定!$H37))</f>
        <v>3.3</v>
      </c>
    </row>
    <row r="24" spans="2:16" s="8" customFormat="1" ht="17.25" customHeight="1" x14ac:dyDescent="0.45">
      <c r="B24" s="49" t="str">
        <f>+[14]第５表!B24</f>
        <v>R</v>
      </c>
      <c r="C24" s="50"/>
      <c r="D24" s="62" t="str">
        <f>+[14]第５表!D24</f>
        <v>サービス業（他に分類されないもの）</v>
      </c>
      <c r="E24" s="52">
        <f>IF($D24="","",IF([13]設定!$H38="",INDEX([13]第３表!$F$80:$Q$136,MATCH([13]設定!$D38,[13]第３表!$C$80:$C$136,0),1),[13]設定!$H38))</f>
        <v>18.899999999999999</v>
      </c>
      <c r="F24" s="52">
        <f>IF($D24="","",IF([13]設定!$H38="",INDEX([13]第３表!$F$80:$Q$136,MATCH([13]設定!$D38,[13]第３表!$C$80:$C$136,0),2),[13]設定!$H38))</f>
        <v>140.30000000000001</v>
      </c>
      <c r="G24" s="52">
        <f>IF($D24="","",IF([13]設定!$H38="",INDEX([13]第３表!$F$80:$Q$136,MATCH([13]設定!$D38,[13]第３表!$C$80:$C$136,0),3),[13]設定!$H38))</f>
        <v>133.4</v>
      </c>
      <c r="H24" s="53">
        <f>IF($D24="","",IF([13]設定!$H38="",INDEX([13]第３表!$F$80:$Q$136,MATCH([13]設定!$D38,[13]第３表!$C$80:$C$136,0),4),[13]設定!$H38))</f>
        <v>6.9</v>
      </c>
      <c r="I24" s="54">
        <f>IF($D24="","",IF([13]設定!$H38="",INDEX([13]第３表!$F$80:$Q$136,MATCH([13]設定!$D38,[13]第３表!$C$80:$C$136,0),5),[13]設定!$H38))</f>
        <v>19.399999999999999</v>
      </c>
      <c r="J24" s="54">
        <f>IF($D24="","",IF([13]設定!$H38="",INDEX([13]第３表!$F$80:$Q$136,MATCH([13]設定!$D38,[13]第３表!$C$80:$C$136,0),6),[13]設定!$H38))</f>
        <v>153</v>
      </c>
      <c r="K24" s="54">
        <f>IF($D24="","",IF([13]設定!$H38="",INDEX([13]第３表!$F$80:$Q$136,MATCH([13]設定!$D38,[13]第３表!$C$80:$C$136,0),7),[13]設定!$H38))</f>
        <v>143.5</v>
      </c>
      <c r="L24" s="55">
        <f>IF($D24="","",IF([13]設定!$H38="",INDEX([13]第３表!$F$80:$Q$136,MATCH([13]設定!$D38,[13]第３表!$C$80:$C$136,0),8),[13]設定!$H38))</f>
        <v>9.5</v>
      </c>
      <c r="M24" s="56">
        <f>IF($D24="","",IF([13]設定!$H38="",INDEX([13]第３表!$F$80:$Q$136,MATCH([13]設定!$D38,[13]第３表!$C$80:$C$136,0),9),[13]設定!$H38))</f>
        <v>18.3</v>
      </c>
      <c r="N24" s="56">
        <f>IF($D24="","",IF([13]設定!$H38="",INDEX([13]第３表!$F$80:$Q$136,MATCH([13]設定!$D38,[13]第３表!$C$80:$C$136,0),10),[13]設定!$H38))</f>
        <v>125.3</v>
      </c>
      <c r="O24" s="56">
        <f>IF($D24="","",IF([13]設定!$H38="",INDEX([13]第３表!$F$80:$Q$136,MATCH([13]設定!$D38,[13]第３表!$C$80:$C$136,0),11),[13]設定!$H38))</f>
        <v>121.5</v>
      </c>
      <c r="P24" s="57">
        <f>IF($D24="","",IF([13]設定!$H38="",INDEX([13]第３表!$F$80:$Q$136,MATCH([13]設定!$D38,[13]第３表!$C$80:$C$136,0),12),[13]設定!$H38))</f>
        <v>3.8</v>
      </c>
    </row>
    <row r="25" spans="2:16" s="8" customFormat="1" ht="17.25" customHeight="1" x14ac:dyDescent="0.45">
      <c r="B25" s="45" t="str">
        <f>+[14]第５表!B25</f>
        <v>E09,10</v>
      </c>
      <c r="C25" s="46"/>
      <c r="D25" s="63" t="str">
        <f>+[14]第５表!D25</f>
        <v>食料品・たばこ</v>
      </c>
      <c r="E25" s="48">
        <f>IF($D25="","",IF([13]設定!$H39="",INDEX([13]第３表!$F$80:$Q$136,MATCH([13]設定!$D39,[13]第３表!$C$80:$C$136,0),1),[13]設定!$H39))</f>
        <v>18.7</v>
      </c>
      <c r="F25" s="48">
        <f>IF($D25="","",IF([13]設定!$H39="",INDEX([13]第３表!$F$80:$Q$136,MATCH([13]設定!$D39,[13]第３表!$C$80:$C$136,0),2),[13]設定!$H39))</f>
        <v>145.4</v>
      </c>
      <c r="G25" s="48">
        <f>IF($D25="","",IF([13]設定!$H39="",INDEX([13]第３表!$F$80:$Q$136,MATCH([13]設定!$D39,[13]第３表!$C$80:$C$136,0),3),[13]設定!$H39))</f>
        <v>135.4</v>
      </c>
      <c r="H25" s="64">
        <f>IF($D25="","",IF([13]設定!$H39="",INDEX([13]第３表!$F$80:$Q$136,MATCH([13]設定!$D39,[13]第３表!$C$80:$C$136,0),4),[13]設定!$H39))</f>
        <v>10</v>
      </c>
      <c r="I25" s="48">
        <f>IF($D25="","",IF([13]設定!$H39="",INDEX([13]第３表!$F$80:$Q$136,MATCH([13]設定!$D39,[13]第３表!$C$80:$C$136,0),5),[13]設定!$H39))</f>
        <v>19.399999999999999</v>
      </c>
      <c r="J25" s="48">
        <f>IF($D25="","",IF([13]設定!$H39="",INDEX([13]第３表!$F$80:$Q$136,MATCH([13]設定!$D39,[13]第３表!$C$80:$C$136,0),6),[13]設定!$H39))</f>
        <v>162.1</v>
      </c>
      <c r="K25" s="48">
        <f>IF($D25="","",IF([13]設定!$H39="",INDEX([13]第３表!$F$80:$Q$136,MATCH([13]設定!$D39,[13]第３表!$C$80:$C$136,0),7),[13]設定!$H39))</f>
        <v>147.19999999999999</v>
      </c>
      <c r="L25" s="64">
        <f>IF($D25="","",IF([13]設定!$H39="",INDEX([13]第３表!$F$80:$Q$136,MATCH([13]設定!$D39,[13]第３表!$C$80:$C$136,0),8),[13]設定!$H39))</f>
        <v>14.9</v>
      </c>
      <c r="M25" s="48">
        <f>IF($D25="","",IF([13]設定!$H39="",INDEX([13]第３表!$F$80:$Q$136,MATCH([13]設定!$D39,[13]第３表!$C$80:$C$136,0),9),[13]設定!$H39))</f>
        <v>18.3</v>
      </c>
      <c r="N25" s="48">
        <f>IF($D25="","",IF([13]設定!$H39="",INDEX([13]第３表!$F$80:$Q$136,MATCH([13]設定!$D39,[13]第３表!$C$80:$C$136,0),10),[13]設定!$H39))</f>
        <v>135.5</v>
      </c>
      <c r="O25" s="48">
        <f>IF($D25="","",IF([13]設定!$H39="",INDEX([13]第３表!$F$80:$Q$136,MATCH([13]設定!$D39,[13]第３表!$C$80:$C$136,0),11),[13]設定!$H39))</f>
        <v>128.30000000000001</v>
      </c>
      <c r="P25" s="64">
        <f>IF($D25="","",IF([13]設定!$H39="",INDEX([13]第３表!$F$80:$Q$136,MATCH([13]設定!$D39,[13]第３表!$C$80:$C$136,0),12),[13]設定!$H39))</f>
        <v>7.2</v>
      </c>
    </row>
    <row r="26" spans="2:16" s="8" customFormat="1" ht="17.25" customHeight="1" x14ac:dyDescent="0.45">
      <c r="B26" s="49" t="str">
        <f>+[14]第５表!B26</f>
        <v>E11</v>
      </c>
      <c r="C26" s="50"/>
      <c r="D26" s="65" t="str">
        <f>+[14]第５表!D26</f>
        <v>繊維工業</v>
      </c>
      <c r="E26" s="52">
        <f>IF($D26="","",IF([13]設定!$H40="",INDEX([13]第３表!$F$80:$Q$136,MATCH([13]設定!$D40,[13]第３表!$C$80:$C$136,0),1),[13]設定!$H40))</f>
        <v>20</v>
      </c>
      <c r="F26" s="52">
        <f>IF($D26="","",IF([13]設定!$H40="",INDEX([13]第３表!$F$80:$Q$136,MATCH([13]設定!$D40,[13]第３表!$C$80:$C$136,0),2),[13]設定!$H40))</f>
        <v>161.19999999999999</v>
      </c>
      <c r="G26" s="52">
        <f>IF($D26="","",IF([13]設定!$H40="",INDEX([13]第３表!$F$80:$Q$136,MATCH([13]設定!$D40,[13]第３表!$C$80:$C$136,0),3),[13]設定!$H40))</f>
        <v>149.1</v>
      </c>
      <c r="H26" s="55">
        <f>IF($D26="","",IF([13]設定!$H40="",INDEX([13]第３表!$F$80:$Q$136,MATCH([13]設定!$D40,[13]第３表!$C$80:$C$136,0),4),[13]設定!$H40))</f>
        <v>12.1</v>
      </c>
      <c r="I26" s="52">
        <f>IF($D26="","",IF([13]設定!$H40="",INDEX([13]第３表!$F$80:$Q$136,MATCH([13]設定!$D40,[13]第３表!$C$80:$C$136,0),5),[13]設定!$H40))</f>
        <v>20</v>
      </c>
      <c r="J26" s="52">
        <f>IF($D26="","",IF([13]設定!$H40="",INDEX([13]第３表!$F$80:$Q$136,MATCH([13]設定!$D40,[13]第３表!$C$80:$C$136,0),6),[13]設定!$H40))</f>
        <v>162.69999999999999</v>
      </c>
      <c r="K26" s="52">
        <f>IF($D26="","",IF([13]設定!$H40="",INDEX([13]第３表!$F$80:$Q$136,MATCH([13]設定!$D40,[13]第３表!$C$80:$C$136,0),7),[13]設定!$H40))</f>
        <v>148.1</v>
      </c>
      <c r="L26" s="55">
        <f>IF($D26="","",IF([13]設定!$H40="",INDEX([13]第３表!$F$80:$Q$136,MATCH([13]設定!$D40,[13]第３表!$C$80:$C$136,0),8),[13]設定!$H40))</f>
        <v>14.6</v>
      </c>
      <c r="M26" s="52">
        <f>IF($D26="","",IF([13]設定!$H40="",INDEX([13]第３表!$F$80:$Q$136,MATCH([13]設定!$D40,[13]第３表!$C$80:$C$136,0),9),[13]設定!$H40))</f>
        <v>19.899999999999999</v>
      </c>
      <c r="N26" s="52">
        <f>IF($D26="","",IF([13]設定!$H40="",INDEX([13]第３表!$F$80:$Q$136,MATCH([13]設定!$D40,[13]第３表!$C$80:$C$136,0),10),[13]設定!$H40))</f>
        <v>160.4</v>
      </c>
      <c r="O26" s="52">
        <f>IF($D26="","",IF([13]設定!$H40="",INDEX([13]第３表!$F$80:$Q$136,MATCH([13]設定!$D40,[13]第３表!$C$80:$C$136,0),11),[13]設定!$H40))</f>
        <v>149.80000000000001</v>
      </c>
      <c r="P26" s="55">
        <f>IF($D26="","",IF([13]設定!$H40="",INDEX([13]第３表!$F$80:$Q$136,MATCH([13]設定!$D40,[13]第３表!$C$80:$C$136,0),12),[13]設定!$H40))</f>
        <v>10.6</v>
      </c>
    </row>
    <row r="27" spans="2:16" s="8" customFormat="1" ht="17.25" customHeight="1" x14ac:dyDescent="0.45">
      <c r="B27" s="49" t="str">
        <f>+[14]第５表!B27</f>
        <v>E12</v>
      </c>
      <c r="C27" s="50"/>
      <c r="D27" s="65" t="str">
        <f>+[14]第５表!D27</f>
        <v>木材・木製品</v>
      </c>
      <c r="E27" s="52">
        <f>IF($D27="","",IF([13]設定!$H41="",INDEX([13]第３表!$F$80:$Q$136,MATCH([13]設定!$D41,[13]第３表!$C$80:$C$136,0),1),[13]設定!$H41))</f>
        <v>18.899999999999999</v>
      </c>
      <c r="F27" s="52">
        <f>IF($D27="","",IF([13]設定!$H41="",INDEX([13]第３表!$F$80:$Q$136,MATCH([13]設定!$D41,[13]第３表!$C$80:$C$136,0),2),[13]設定!$H41))</f>
        <v>150.69999999999999</v>
      </c>
      <c r="G27" s="52">
        <f>IF($D27="","",IF([13]設定!$H41="",INDEX([13]第３表!$F$80:$Q$136,MATCH([13]設定!$D41,[13]第３表!$C$80:$C$136,0),3),[13]設定!$H41))</f>
        <v>142.5</v>
      </c>
      <c r="H27" s="55">
        <f>IF($D27="","",IF([13]設定!$H41="",INDEX([13]第３表!$F$80:$Q$136,MATCH([13]設定!$D41,[13]第３表!$C$80:$C$136,0),4),[13]設定!$H41))</f>
        <v>8.1999999999999993</v>
      </c>
      <c r="I27" s="52">
        <f>IF($D27="","",IF([13]設定!$H41="",INDEX([13]第３表!$F$80:$Q$136,MATCH([13]設定!$D41,[13]第３表!$C$80:$C$136,0),5),[13]設定!$H41))</f>
        <v>19.2</v>
      </c>
      <c r="J27" s="52">
        <f>IF($D27="","",IF([13]設定!$H41="",INDEX([13]第３表!$F$80:$Q$136,MATCH([13]設定!$D41,[13]第３表!$C$80:$C$136,0),6),[13]設定!$H41))</f>
        <v>157.19999999999999</v>
      </c>
      <c r="K27" s="52">
        <f>IF($D27="","",IF([13]設定!$H41="",INDEX([13]第３表!$F$80:$Q$136,MATCH([13]設定!$D41,[13]第３表!$C$80:$C$136,0),7),[13]設定!$H41))</f>
        <v>147.4</v>
      </c>
      <c r="L27" s="55">
        <f>IF($D27="","",IF([13]設定!$H41="",INDEX([13]第３表!$F$80:$Q$136,MATCH([13]設定!$D41,[13]第３表!$C$80:$C$136,0),8),[13]設定!$H41))</f>
        <v>9.8000000000000007</v>
      </c>
      <c r="M27" s="52">
        <f>IF($D27="","",IF([13]設定!$H41="",INDEX([13]第３表!$F$80:$Q$136,MATCH([13]設定!$D41,[13]第３表!$C$80:$C$136,0),9),[13]設定!$H41))</f>
        <v>18</v>
      </c>
      <c r="N27" s="52">
        <f>IF($D27="","",IF([13]設定!$H41="",INDEX([13]第３表!$F$80:$Q$136,MATCH([13]設定!$D41,[13]第３表!$C$80:$C$136,0),10),[13]設定!$H41))</f>
        <v>131.6</v>
      </c>
      <c r="O27" s="52">
        <f>IF($D27="","",IF([13]設定!$H41="",INDEX([13]第３表!$F$80:$Q$136,MATCH([13]設定!$D41,[13]第３表!$C$80:$C$136,0),11),[13]設定!$H41))</f>
        <v>128.1</v>
      </c>
      <c r="P27" s="55">
        <f>IF($D27="","",IF([13]設定!$H41="",INDEX([13]第３表!$F$80:$Q$136,MATCH([13]設定!$D41,[13]第３表!$C$80:$C$136,0),12),[13]設定!$H41))</f>
        <v>3.5</v>
      </c>
    </row>
    <row r="28" spans="2:16" s="8" customFormat="1" ht="17.25" customHeight="1" x14ac:dyDescent="0.45">
      <c r="B28" s="49" t="str">
        <f>+[14]第５表!B28</f>
        <v>E13</v>
      </c>
      <c r="C28" s="50"/>
      <c r="D28" s="65" t="str">
        <f>+[14]第５表!D28</f>
        <v>家具・装備品</v>
      </c>
      <c r="E28" s="52" t="str">
        <f>IF($D28="","",IF([13]設定!$H42="",INDEX([13]第３表!$F$80:$Q$136,MATCH([13]設定!$D42,[13]第３表!$C$80:$C$136,0),1),[13]設定!$H42))</f>
        <v>x</v>
      </c>
      <c r="F28" s="52" t="str">
        <f>IF($D28="","",IF([13]設定!$H42="",INDEX([13]第３表!$F$80:$Q$136,MATCH([13]設定!$D42,[13]第３表!$C$80:$C$136,0),2),[13]設定!$H42))</f>
        <v>x</v>
      </c>
      <c r="G28" s="52" t="str">
        <f>IF($D28="","",IF([13]設定!$H42="",INDEX([13]第３表!$F$80:$Q$136,MATCH([13]設定!$D42,[13]第３表!$C$80:$C$136,0),3),[13]設定!$H42))</f>
        <v>x</v>
      </c>
      <c r="H28" s="55" t="str">
        <f>IF($D28="","",IF([13]設定!$H42="",INDEX([13]第３表!$F$80:$Q$136,MATCH([13]設定!$D42,[13]第３表!$C$80:$C$136,0),4),[13]設定!$H42))</f>
        <v>x</v>
      </c>
      <c r="I28" s="52" t="str">
        <f>IF($D28="","",IF([13]設定!$H42="",INDEX([13]第３表!$F$80:$Q$136,MATCH([13]設定!$D42,[13]第３表!$C$80:$C$136,0),5),[13]設定!$H42))</f>
        <v>x</v>
      </c>
      <c r="J28" s="52" t="str">
        <f>IF($D28="","",IF([13]設定!$H42="",INDEX([13]第３表!$F$80:$Q$136,MATCH([13]設定!$D42,[13]第３表!$C$80:$C$136,0),6),[13]設定!$H42))</f>
        <v>x</v>
      </c>
      <c r="K28" s="52" t="str">
        <f>IF($D28="","",IF([13]設定!$H42="",INDEX([13]第３表!$F$80:$Q$136,MATCH([13]設定!$D42,[13]第３表!$C$80:$C$136,0),7),[13]設定!$H42))</f>
        <v>x</v>
      </c>
      <c r="L28" s="55" t="str">
        <f>IF($D28="","",IF([13]設定!$H42="",INDEX([13]第３表!$F$80:$Q$136,MATCH([13]設定!$D42,[13]第３表!$C$80:$C$136,0),8),[13]設定!$H42))</f>
        <v>x</v>
      </c>
      <c r="M28" s="52" t="str">
        <f>IF($D28="","",IF([13]設定!$H42="",INDEX([13]第３表!$F$80:$Q$136,MATCH([13]設定!$D42,[13]第３表!$C$80:$C$136,0),9),[13]設定!$H42))</f>
        <v>x</v>
      </c>
      <c r="N28" s="52" t="str">
        <f>IF($D28="","",IF([13]設定!$H42="",INDEX([13]第３表!$F$80:$Q$136,MATCH([13]設定!$D42,[13]第３表!$C$80:$C$136,0),10),[13]設定!$H42))</f>
        <v>x</v>
      </c>
      <c r="O28" s="52" t="str">
        <f>IF($D28="","",IF([13]設定!$H42="",INDEX([13]第３表!$F$80:$Q$136,MATCH([13]設定!$D42,[13]第３表!$C$80:$C$136,0),11),[13]設定!$H42))</f>
        <v>x</v>
      </c>
      <c r="P28" s="55" t="str">
        <f>IF($D28="","",IF([13]設定!$H42="",INDEX([13]第３表!$F$80:$Q$136,MATCH([13]設定!$D42,[13]第３表!$C$80:$C$136,0),12),[13]設定!$H42))</f>
        <v>x</v>
      </c>
    </row>
    <row r="29" spans="2:16" s="8" customFormat="1" ht="17.25" customHeight="1" x14ac:dyDescent="0.45">
      <c r="B29" s="49" t="str">
        <f>+[14]第５表!B29</f>
        <v>E15</v>
      </c>
      <c r="C29" s="50"/>
      <c r="D29" s="65" t="str">
        <f>+[14]第５表!D29</f>
        <v>印刷・同関連業</v>
      </c>
      <c r="E29" s="52">
        <f>IF($D29="","",IF([13]設定!$H43="",INDEX([13]第３表!$F$80:$Q$136,MATCH([13]設定!$D43,[13]第３表!$C$80:$C$136,0),1),[13]設定!$H43))</f>
        <v>19.399999999999999</v>
      </c>
      <c r="F29" s="52">
        <f>IF($D29="","",IF([13]設定!$H43="",INDEX([13]第３表!$F$80:$Q$136,MATCH([13]設定!$D43,[13]第３表!$C$80:$C$136,0),2),[13]設定!$H43))</f>
        <v>154.30000000000001</v>
      </c>
      <c r="G29" s="52">
        <f>IF($D29="","",IF([13]設定!$H43="",INDEX([13]第３表!$F$80:$Q$136,MATCH([13]設定!$D43,[13]第３表!$C$80:$C$136,0),3),[13]設定!$H43))</f>
        <v>148.5</v>
      </c>
      <c r="H29" s="55">
        <f>IF($D29="","",IF([13]設定!$H43="",INDEX([13]第３表!$F$80:$Q$136,MATCH([13]設定!$D43,[13]第３表!$C$80:$C$136,0),4),[13]設定!$H43))</f>
        <v>5.8</v>
      </c>
      <c r="I29" s="52">
        <f>IF($D29="","",IF([13]設定!$H43="",INDEX([13]第３表!$F$80:$Q$136,MATCH([13]設定!$D43,[13]第３表!$C$80:$C$136,0),5),[13]設定!$H43))</f>
        <v>19.7</v>
      </c>
      <c r="J29" s="52">
        <f>IF($D29="","",IF([13]設定!$H43="",INDEX([13]第３表!$F$80:$Q$136,MATCH([13]設定!$D43,[13]第３表!$C$80:$C$136,0),6),[13]設定!$H43))</f>
        <v>154.30000000000001</v>
      </c>
      <c r="K29" s="52">
        <f>IF($D29="","",IF([13]設定!$H43="",INDEX([13]第３表!$F$80:$Q$136,MATCH([13]設定!$D43,[13]第３表!$C$80:$C$136,0),7),[13]設定!$H43))</f>
        <v>147.19999999999999</v>
      </c>
      <c r="L29" s="55">
        <f>IF($D29="","",IF([13]設定!$H43="",INDEX([13]第３表!$F$80:$Q$136,MATCH([13]設定!$D43,[13]第３表!$C$80:$C$136,0),8),[13]設定!$H43))</f>
        <v>7.1</v>
      </c>
      <c r="M29" s="52">
        <f>IF($D29="","",IF([13]設定!$H43="",INDEX([13]第３表!$F$80:$Q$136,MATCH([13]設定!$D43,[13]第３表!$C$80:$C$136,0),9),[13]設定!$H43))</f>
        <v>18.7</v>
      </c>
      <c r="N29" s="52">
        <f>IF($D29="","",IF([13]設定!$H43="",INDEX([13]第３表!$F$80:$Q$136,MATCH([13]設定!$D43,[13]第３表!$C$80:$C$136,0),10),[13]設定!$H43))</f>
        <v>154.4</v>
      </c>
      <c r="O29" s="52">
        <f>IF($D29="","",IF([13]設定!$H43="",INDEX([13]第３表!$F$80:$Q$136,MATCH([13]設定!$D43,[13]第３表!$C$80:$C$136,0),11),[13]設定!$H43))</f>
        <v>151.4</v>
      </c>
      <c r="P29" s="55">
        <f>IF($D29="","",IF([13]設定!$H43="",INDEX([13]第３表!$F$80:$Q$136,MATCH([13]設定!$D43,[13]第３表!$C$80:$C$136,0),12),[13]設定!$H43))</f>
        <v>3</v>
      </c>
    </row>
    <row r="30" spans="2:16" s="8" customFormat="1" ht="17.25" customHeight="1" x14ac:dyDescent="0.45">
      <c r="B30" s="49" t="str">
        <f>+[14]第５表!B30</f>
        <v>E16,17</v>
      </c>
      <c r="C30" s="50"/>
      <c r="D30" s="65" t="str">
        <f>+[14]第５表!D30</f>
        <v>化学、石油・石炭</v>
      </c>
      <c r="E30" s="52">
        <f>IF($D30="","",IF([13]設定!$H44="",INDEX([13]第３表!$F$80:$Q$136,MATCH([13]設定!$D44,[13]第３表!$C$80:$C$136,0),1),[13]設定!$H44))</f>
        <v>20</v>
      </c>
      <c r="F30" s="52">
        <f>IF($D30="","",IF([13]設定!$H44="",INDEX([13]第３表!$F$80:$Q$136,MATCH([13]設定!$D44,[13]第３表!$C$80:$C$136,0),2),[13]設定!$H44))</f>
        <v>164.9</v>
      </c>
      <c r="G30" s="52">
        <f>IF($D30="","",IF([13]設定!$H44="",INDEX([13]第３表!$F$80:$Q$136,MATCH([13]設定!$D44,[13]第３表!$C$80:$C$136,0),3),[13]設定!$H44))</f>
        <v>143.9</v>
      </c>
      <c r="H30" s="55">
        <f>IF($D30="","",IF([13]設定!$H44="",INDEX([13]第３表!$F$80:$Q$136,MATCH([13]設定!$D44,[13]第３表!$C$80:$C$136,0),4),[13]設定!$H44))</f>
        <v>21</v>
      </c>
      <c r="I30" s="52">
        <f>IF($D30="","",IF([13]設定!$H44="",INDEX([13]第３表!$F$80:$Q$136,MATCH([13]設定!$D44,[13]第３表!$C$80:$C$136,0),5),[13]設定!$H44))</f>
        <v>20</v>
      </c>
      <c r="J30" s="52">
        <f>IF($D30="","",IF([13]設定!$H44="",INDEX([13]第３表!$F$80:$Q$136,MATCH([13]設定!$D44,[13]第３表!$C$80:$C$136,0),6),[13]設定!$H44))</f>
        <v>165.9</v>
      </c>
      <c r="K30" s="52">
        <f>IF($D30="","",IF([13]設定!$H44="",INDEX([13]第３表!$F$80:$Q$136,MATCH([13]設定!$D44,[13]第３表!$C$80:$C$136,0),7),[13]設定!$H44))</f>
        <v>143.5</v>
      </c>
      <c r="L30" s="55">
        <f>IF($D30="","",IF([13]設定!$H44="",INDEX([13]第３表!$F$80:$Q$136,MATCH([13]設定!$D44,[13]第３表!$C$80:$C$136,0),8),[13]設定!$H44))</f>
        <v>22.4</v>
      </c>
      <c r="M30" s="52">
        <f>IF($D30="","",IF([13]設定!$H44="",INDEX([13]第３表!$F$80:$Q$136,MATCH([13]設定!$D44,[13]第３表!$C$80:$C$136,0),9),[13]設定!$H44))</f>
        <v>19.8</v>
      </c>
      <c r="N30" s="52">
        <f>IF($D30="","",IF([13]設定!$H44="",INDEX([13]第３表!$F$80:$Q$136,MATCH([13]設定!$D44,[13]第３表!$C$80:$C$136,0),10),[13]設定!$H44))</f>
        <v>153.69999999999999</v>
      </c>
      <c r="O30" s="52">
        <f>IF($D30="","",IF([13]設定!$H44="",INDEX([13]第３表!$F$80:$Q$136,MATCH([13]設定!$D44,[13]第３表!$C$80:$C$136,0),11),[13]設定!$H44))</f>
        <v>148.19999999999999</v>
      </c>
      <c r="P30" s="55">
        <f>IF($D30="","",IF([13]設定!$H44="",INDEX([13]第３表!$F$80:$Q$136,MATCH([13]設定!$D44,[13]第３表!$C$80:$C$136,0),12),[13]設定!$H44))</f>
        <v>5.5</v>
      </c>
    </row>
    <row r="31" spans="2:16" s="8" customFormat="1" ht="17.25" customHeight="1" x14ac:dyDescent="0.45">
      <c r="B31" s="49" t="str">
        <f>+[14]第５表!B31</f>
        <v>E18</v>
      </c>
      <c r="C31" s="50"/>
      <c r="D31" s="65" t="str">
        <f>+[14]第５表!D31</f>
        <v>プラスチック製品</v>
      </c>
      <c r="E31" s="52">
        <f>IF($D31="","",IF([13]設定!$H45="",INDEX([13]第３表!$F$80:$Q$136,MATCH([13]設定!$D45,[13]第３表!$C$80:$C$136,0),1),[13]設定!$H45))</f>
        <v>19.899999999999999</v>
      </c>
      <c r="F31" s="52">
        <f>IF($D31="","",IF([13]設定!$H45="",INDEX([13]第３表!$F$80:$Q$136,MATCH([13]設定!$D45,[13]第３表!$C$80:$C$136,0),2),[13]設定!$H45))</f>
        <v>158.19999999999999</v>
      </c>
      <c r="G31" s="52">
        <f>IF($D31="","",IF([13]設定!$H45="",INDEX([13]第３表!$F$80:$Q$136,MATCH([13]設定!$D45,[13]第３表!$C$80:$C$136,0),3),[13]設定!$H45))</f>
        <v>147.4</v>
      </c>
      <c r="H31" s="55">
        <f>IF($D31="","",IF([13]設定!$H45="",INDEX([13]第３表!$F$80:$Q$136,MATCH([13]設定!$D45,[13]第３表!$C$80:$C$136,0),4),[13]設定!$H45))</f>
        <v>10.8</v>
      </c>
      <c r="I31" s="52">
        <f>IF($D31="","",IF([13]設定!$H45="",INDEX([13]第３表!$F$80:$Q$136,MATCH([13]設定!$D45,[13]第３表!$C$80:$C$136,0),5),[13]設定!$H45))</f>
        <v>20</v>
      </c>
      <c r="J31" s="52">
        <f>IF($D31="","",IF([13]設定!$H45="",INDEX([13]第３表!$F$80:$Q$136,MATCH([13]設定!$D45,[13]第３表!$C$80:$C$136,0),6),[13]設定!$H45))</f>
        <v>166.1</v>
      </c>
      <c r="K31" s="52">
        <f>IF($D31="","",IF([13]設定!$H45="",INDEX([13]第３表!$F$80:$Q$136,MATCH([13]設定!$D45,[13]第３表!$C$80:$C$136,0),7),[13]設定!$H45))</f>
        <v>152</v>
      </c>
      <c r="L31" s="55">
        <f>IF($D31="","",IF([13]設定!$H45="",INDEX([13]第３表!$F$80:$Q$136,MATCH([13]設定!$D45,[13]第３表!$C$80:$C$136,0),8),[13]設定!$H45))</f>
        <v>14.1</v>
      </c>
      <c r="M31" s="52">
        <f>IF($D31="","",IF([13]設定!$H45="",INDEX([13]第３表!$F$80:$Q$136,MATCH([13]設定!$D45,[13]第３表!$C$80:$C$136,0),9),[13]設定!$H45))</f>
        <v>19.7</v>
      </c>
      <c r="N31" s="52">
        <f>IF($D31="","",IF([13]設定!$H45="",INDEX([13]第３表!$F$80:$Q$136,MATCH([13]設定!$D45,[13]第３表!$C$80:$C$136,0),10),[13]設定!$H45))</f>
        <v>134.9</v>
      </c>
      <c r="O31" s="52">
        <f>IF($D31="","",IF([13]設定!$H45="",INDEX([13]第３表!$F$80:$Q$136,MATCH([13]設定!$D45,[13]第３表!$C$80:$C$136,0),11),[13]設定!$H45))</f>
        <v>133.80000000000001</v>
      </c>
      <c r="P31" s="55">
        <f>IF($D31="","",IF([13]設定!$H45="",INDEX([13]第３表!$F$80:$Q$136,MATCH([13]設定!$D45,[13]第３表!$C$80:$C$136,0),12),[13]設定!$H45))</f>
        <v>1.1000000000000001</v>
      </c>
    </row>
    <row r="32" spans="2:16" s="8" customFormat="1" ht="17.25" customHeight="1" x14ac:dyDescent="0.45">
      <c r="B32" s="49" t="str">
        <f>+[14]第５表!B32</f>
        <v>E19</v>
      </c>
      <c r="C32" s="50"/>
      <c r="D32" s="65" t="str">
        <f>+[14]第５表!D32</f>
        <v>ゴム製品</v>
      </c>
      <c r="E32" s="52">
        <f>IF($D32="","",IF([13]設定!$H46="",INDEX([13]第３表!$F$80:$Q$136,MATCH([13]設定!$D46,[13]第３表!$C$80:$C$136,0),1),[13]設定!$H46))</f>
        <v>20.5</v>
      </c>
      <c r="F32" s="52">
        <f>IF($D32="","",IF([13]設定!$H46="",INDEX([13]第３表!$F$80:$Q$136,MATCH([13]設定!$D46,[13]第３表!$C$80:$C$136,0),2),[13]設定!$H46))</f>
        <v>171.5</v>
      </c>
      <c r="G32" s="52">
        <f>IF($D32="","",IF([13]設定!$H46="",INDEX([13]第３表!$F$80:$Q$136,MATCH([13]設定!$D46,[13]第３表!$C$80:$C$136,0),3),[13]設定!$H46))</f>
        <v>151</v>
      </c>
      <c r="H32" s="55">
        <f>IF($D32="","",IF([13]設定!$H46="",INDEX([13]第３表!$F$80:$Q$136,MATCH([13]設定!$D46,[13]第３表!$C$80:$C$136,0),4),[13]設定!$H46))</f>
        <v>20.5</v>
      </c>
      <c r="I32" s="52">
        <f>IF($D32="","",IF([13]設定!$H46="",INDEX([13]第３表!$F$80:$Q$136,MATCH([13]設定!$D46,[13]第３表!$C$80:$C$136,0),5),[13]設定!$H46))</f>
        <v>20.6</v>
      </c>
      <c r="J32" s="52">
        <f>IF($D32="","",IF([13]設定!$H46="",INDEX([13]第３表!$F$80:$Q$136,MATCH([13]設定!$D46,[13]第３表!$C$80:$C$136,0),6),[13]設定!$H46))</f>
        <v>173.1</v>
      </c>
      <c r="K32" s="52">
        <f>IF($D32="","",IF([13]設定!$H46="",INDEX([13]第３表!$F$80:$Q$136,MATCH([13]設定!$D46,[13]第３表!$C$80:$C$136,0),7),[13]設定!$H46))</f>
        <v>150.69999999999999</v>
      </c>
      <c r="L32" s="55">
        <f>IF($D32="","",IF([13]設定!$H46="",INDEX([13]第３表!$F$80:$Q$136,MATCH([13]設定!$D46,[13]第３表!$C$80:$C$136,0),8),[13]設定!$H46))</f>
        <v>22.4</v>
      </c>
      <c r="M32" s="52">
        <f>IF($D32="","",IF([13]設定!$H46="",INDEX([13]第３表!$F$80:$Q$136,MATCH([13]設定!$D46,[13]第３表!$C$80:$C$136,0),9),[13]設定!$H46))</f>
        <v>19.899999999999999</v>
      </c>
      <c r="N32" s="52">
        <f>IF($D32="","",IF([13]設定!$H46="",INDEX([13]第３表!$F$80:$Q$136,MATCH([13]設定!$D46,[13]第３表!$C$80:$C$136,0),10),[13]設定!$H46))</f>
        <v>161.19999999999999</v>
      </c>
      <c r="O32" s="52">
        <f>IF($D32="","",IF([13]設定!$H46="",INDEX([13]第３表!$F$80:$Q$136,MATCH([13]設定!$D46,[13]第３表!$C$80:$C$136,0),11),[13]設定!$H46))</f>
        <v>153.1</v>
      </c>
      <c r="P32" s="55">
        <f>IF($D32="","",IF([13]設定!$H46="",INDEX([13]第３表!$F$80:$Q$136,MATCH([13]設定!$D46,[13]第３表!$C$80:$C$136,0),12),[13]設定!$H46))</f>
        <v>8.1</v>
      </c>
    </row>
    <row r="33" spans="2:17" s="8" customFormat="1" ht="17.25" customHeight="1" x14ac:dyDescent="0.45">
      <c r="B33" s="49" t="str">
        <f>+[14]第５表!B33</f>
        <v>E21</v>
      </c>
      <c r="C33" s="50"/>
      <c r="D33" s="65" t="str">
        <f>+[14]第５表!D33</f>
        <v>窯業・土石製品</v>
      </c>
      <c r="E33" s="52">
        <f>IF($D33="","",IF([13]設定!$H47="",INDEX([13]第３表!$F$80:$Q$136,MATCH([13]設定!$D47,[13]第３表!$C$80:$C$136,0),1),[13]設定!$H47))</f>
        <v>19.5</v>
      </c>
      <c r="F33" s="52">
        <f>IF($D33="","",IF([13]設定!$H47="",INDEX([13]第３表!$F$80:$Q$136,MATCH([13]設定!$D47,[13]第３表!$C$80:$C$136,0),2),[13]設定!$H47))</f>
        <v>161.4</v>
      </c>
      <c r="G33" s="52">
        <f>IF($D33="","",IF([13]設定!$H47="",INDEX([13]第３表!$F$80:$Q$136,MATCH([13]設定!$D47,[13]第３表!$C$80:$C$136,0),3),[13]設定!$H47))</f>
        <v>153.4</v>
      </c>
      <c r="H33" s="55">
        <f>IF($D33="","",IF([13]設定!$H47="",INDEX([13]第３表!$F$80:$Q$136,MATCH([13]設定!$D47,[13]第３表!$C$80:$C$136,0),4),[13]設定!$H47))</f>
        <v>8</v>
      </c>
      <c r="I33" s="52">
        <f>IF($D33="","",IF([13]設定!$H47="",INDEX([13]第３表!$F$80:$Q$136,MATCH([13]設定!$D47,[13]第３表!$C$80:$C$136,0),5),[13]設定!$H47))</f>
        <v>19.5</v>
      </c>
      <c r="J33" s="52">
        <f>IF($D33="","",IF([13]設定!$H47="",INDEX([13]第３表!$F$80:$Q$136,MATCH([13]設定!$D47,[13]第３表!$C$80:$C$136,0),6),[13]設定!$H47))</f>
        <v>164.6</v>
      </c>
      <c r="K33" s="52">
        <f>IF($D33="","",IF([13]設定!$H47="",INDEX([13]第３表!$F$80:$Q$136,MATCH([13]設定!$D47,[13]第３表!$C$80:$C$136,0),7),[13]設定!$H47))</f>
        <v>154.69999999999999</v>
      </c>
      <c r="L33" s="55">
        <f>IF($D33="","",IF([13]設定!$H47="",INDEX([13]第３表!$F$80:$Q$136,MATCH([13]設定!$D47,[13]第３表!$C$80:$C$136,0),8),[13]設定!$H47))</f>
        <v>9.9</v>
      </c>
      <c r="M33" s="52">
        <f>IF($D33="","",IF([13]設定!$H47="",INDEX([13]第３表!$F$80:$Q$136,MATCH([13]設定!$D47,[13]第３表!$C$80:$C$136,0),9),[13]設定!$H47))</f>
        <v>19.3</v>
      </c>
      <c r="N33" s="52">
        <f>IF($D33="","",IF([13]設定!$H47="",INDEX([13]第３表!$F$80:$Q$136,MATCH([13]設定!$D47,[13]第３表!$C$80:$C$136,0),10),[13]設定!$H47))</f>
        <v>150.6</v>
      </c>
      <c r="O33" s="52">
        <f>IF($D33="","",IF([13]設定!$H47="",INDEX([13]第３表!$F$80:$Q$136,MATCH([13]設定!$D47,[13]第３表!$C$80:$C$136,0),11),[13]設定!$H47))</f>
        <v>149</v>
      </c>
      <c r="P33" s="55">
        <f>IF($D33="","",IF([13]設定!$H47="",INDEX([13]第３表!$F$80:$Q$136,MATCH([13]設定!$D47,[13]第３表!$C$80:$C$136,0),12),[13]設定!$H47))</f>
        <v>1.6</v>
      </c>
    </row>
    <row r="34" spans="2:17" s="8" customFormat="1" ht="17.25" customHeight="1" x14ac:dyDescent="0.45">
      <c r="B34" s="49" t="str">
        <f>+[14]第５表!B34</f>
        <v>E24</v>
      </c>
      <c r="C34" s="50"/>
      <c r="D34" s="65" t="str">
        <f>+[14]第５表!D34</f>
        <v>金属製品製造業</v>
      </c>
      <c r="E34" s="55">
        <f>IF($D34="","",IF([13]設定!$H48="",INDEX([13]第３表!$F$80:$Q$136,MATCH([13]設定!$D48,[13]第３表!$C$80:$C$136,0),1),[13]設定!$H48))</f>
        <v>20.2</v>
      </c>
      <c r="F34" s="55">
        <f>IF($D34="","",IF([13]設定!$H48="",INDEX([13]第３表!$F$80:$Q$136,MATCH([13]設定!$D48,[13]第３表!$C$80:$C$136,0),2),[13]設定!$H48))</f>
        <v>160.6</v>
      </c>
      <c r="G34" s="55">
        <f>IF($D34="","",IF([13]設定!$H48="",INDEX([13]第３表!$F$80:$Q$136,MATCH([13]設定!$D48,[13]第３表!$C$80:$C$136,0),3),[13]設定!$H48))</f>
        <v>149.9</v>
      </c>
      <c r="H34" s="55">
        <f>IF($D34="","",IF([13]設定!$H48="",INDEX([13]第３表!$F$80:$Q$136,MATCH([13]設定!$D48,[13]第３表!$C$80:$C$136,0),4),[13]設定!$H48))</f>
        <v>10.7</v>
      </c>
      <c r="I34" s="55">
        <f>IF($D34="","",IF([13]設定!$H48="",INDEX([13]第３表!$F$80:$Q$136,MATCH([13]設定!$D48,[13]第３表!$C$80:$C$136,0),5),[13]設定!$H48))</f>
        <v>20.100000000000001</v>
      </c>
      <c r="J34" s="55">
        <f>IF($D34="","",IF([13]設定!$H48="",INDEX([13]第３表!$F$80:$Q$136,MATCH([13]設定!$D48,[13]第３表!$C$80:$C$136,0),6),[13]設定!$H48))</f>
        <v>169.6</v>
      </c>
      <c r="K34" s="55">
        <f>IF($D34="","",IF([13]設定!$H48="",INDEX([13]第３表!$F$80:$Q$136,MATCH([13]設定!$D48,[13]第３表!$C$80:$C$136,0),7),[13]設定!$H48))</f>
        <v>155.1</v>
      </c>
      <c r="L34" s="55">
        <f>IF($D34="","",IF([13]設定!$H48="",INDEX([13]第３表!$F$80:$Q$136,MATCH([13]設定!$D48,[13]第３表!$C$80:$C$136,0),8),[13]設定!$H48))</f>
        <v>14.5</v>
      </c>
      <c r="M34" s="55">
        <f>IF($D34="","",IF([13]設定!$H48="",INDEX([13]第３表!$F$80:$Q$136,MATCH([13]設定!$D48,[13]第３表!$C$80:$C$136,0),9),[13]設定!$H48))</f>
        <v>20.3</v>
      </c>
      <c r="N34" s="55">
        <f>IF($D34="","",IF([13]設定!$H48="",INDEX([13]第３表!$F$80:$Q$136,MATCH([13]設定!$D48,[13]第３表!$C$80:$C$136,0),10),[13]設定!$H48))</f>
        <v>146</v>
      </c>
      <c r="O34" s="55">
        <f>IF($D34="","",IF([13]設定!$H48="",INDEX([13]第３表!$F$80:$Q$136,MATCH([13]設定!$D48,[13]第３表!$C$80:$C$136,0),11),[13]設定!$H48))</f>
        <v>141.6</v>
      </c>
      <c r="P34" s="55">
        <f>IF($D34="","",IF([13]設定!$H48="",INDEX([13]第３表!$F$80:$Q$136,MATCH([13]設定!$D48,[13]第３表!$C$80:$C$136,0),12),[13]設定!$H48))</f>
        <v>4.4000000000000004</v>
      </c>
    </row>
    <row r="35" spans="2:17" s="8" customFormat="1" ht="17.25" customHeight="1" x14ac:dyDescent="0.45">
      <c r="B35" s="49" t="str">
        <f>+[14]第５表!B35</f>
        <v>E27</v>
      </c>
      <c r="C35" s="50"/>
      <c r="D35" s="65" t="str">
        <f>+[14]第５表!D35</f>
        <v>業務用機械器具</v>
      </c>
      <c r="E35" s="55">
        <f>IF($D35="","",IF([13]設定!$H49="",INDEX([13]第３表!$F$80:$Q$136,MATCH([13]設定!$D49,[13]第３表!$C$80:$C$136,0),1),[13]設定!$H49))</f>
        <v>19.399999999999999</v>
      </c>
      <c r="F35" s="55">
        <f>IF($D35="","",IF([13]設定!$H49="",INDEX([13]第３表!$F$80:$Q$136,MATCH([13]設定!$D49,[13]第３表!$C$80:$C$136,0),2),[13]設定!$H49))</f>
        <v>160.80000000000001</v>
      </c>
      <c r="G35" s="55">
        <f>IF($D35="","",IF([13]設定!$H49="",INDEX([13]第３表!$F$80:$Q$136,MATCH([13]設定!$D49,[13]第３表!$C$80:$C$136,0),3),[13]設定!$H49))</f>
        <v>152</v>
      </c>
      <c r="H35" s="55">
        <f>IF($D35="","",IF([13]設定!$H49="",INDEX([13]第３表!$F$80:$Q$136,MATCH([13]設定!$D49,[13]第３表!$C$80:$C$136,0),4),[13]設定!$H49))</f>
        <v>8.8000000000000007</v>
      </c>
      <c r="I35" s="55">
        <f>IF($D35="","",IF([13]設定!$H49="",INDEX([13]第３表!$F$80:$Q$136,MATCH([13]設定!$D49,[13]第３表!$C$80:$C$136,0),5),[13]設定!$H49))</f>
        <v>20</v>
      </c>
      <c r="J35" s="55">
        <f>IF($D35="","",IF([13]設定!$H49="",INDEX([13]第３表!$F$80:$Q$136,MATCH([13]設定!$D49,[13]第３表!$C$80:$C$136,0),6),[13]設定!$H49))</f>
        <v>166.8</v>
      </c>
      <c r="K35" s="55">
        <f>IF($D35="","",IF([13]設定!$H49="",INDEX([13]第３表!$F$80:$Q$136,MATCH([13]設定!$D49,[13]第３表!$C$80:$C$136,0),7),[13]設定!$H49))</f>
        <v>155.19999999999999</v>
      </c>
      <c r="L35" s="55">
        <f>IF($D35="","",IF([13]設定!$H49="",INDEX([13]第３表!$F$80:$Q$136,MATCH([13]設定!$D49,[13]第３表!$C$80:$C$136,0),8),[13]設定!$H49))</f>
        <v>11.6</v>
      </c>
      <c r="M35" s="55">
        <f>IF($D35="","",IF([13]設定!$H49="",INDEX([13]第３表!$F$80:$Q$136,MATCH([13]設定!$D49,[13]第３表!$C$80:$C$136,0),9),[13]設定!$H49))</f>
        <v>18.8</v>
      </c>
      <c r="N35" s="55">
        <f>IF($D35="","",IF([13]設定!$H49="",INDEX([13]第３表!$F$80:$Q$136,MATCH([13]設定!$D49,[13]第３表!$C$80:$C$136,0),10),[13]設定!$H49))</f>
        <v>155.19999999999999</v>
      </c>
      <c r="O35" s="55">
        <f>IF($D35="","",IF([13]設定!$H49="",INDEX([13]第３表!$F$80:$Q$136,MATCH([13]設定!$D49,[13]第３表!$C$80:$C$136,0),11),[13]設定!$H49))</f>
        <v>149</v>
      </c>
      <c r="P35" s="55">
        <f>IF($D35="","",IF([13]設定!$H49="",INDEX([13]第３表!$F$80:$Q$136,MATCH([13]設定!$D49,[13]第３表!$C$80:$C$136,0),12),[13]設定!$H49))</f>
        <v>6.2</v>
      </c>
    </row>
    <row r="36" spans="2:17" s="8" customFormat="1" ht="17.25" customHeight="1" x14ac:dyDescent="0.45">
      <c r="B36" s="49" t="str">
        <f>+[14]第５表!B36</f>
        <v>E28</v>
      </c>
      <c r="C36" s="50"/>
      <c r="D36" s="65" t="str">
        <f>+[14]第５表!D36</f>
        <v>電子・デバイス</v>
      </c>
      <c r="E36" s="55">
        <f>IF($D36="","",IF([13]設定!$H50="",INDEX([13]第３表!$F$80:$Q$136,MATCH([13]設定!$D50,[13]第３表!$C$80:$C$136,0),1),[13]設定!$H50))</f>
        <v>19</v>
      </c>
      <c r="F36" s="55">
        <f>IF($D36="","",IF([13]設定!$H50="",INDEX([13]第３表!$F$80:$Q$136,MATCH([13]設定!$D50,[13]第３表!$C$80:$C$136,0),2),[13]設定!$H50))</f>
        <v>160.1</v>
      </c>
      <c r="G36" s="55">
        <f>IF($D36="","",IF([13]設定!$H50="",INDEX([13]第３表!$F$80:$Q$136,MATCH([13]設定!$D50,[13]第３表!$C$80:$C$136,0),3),[13]設定!$H50))</f>
        <v>147.6</v>
      </c>
      <c r="H36" s="55">
        <f>IF($D36="","",IF([13]設定!$H50="",INDEX([13]第３表!$F$80:$Q$136,MATCH([13]設定!$D50,[13]第３表!$C$80:$C$136,0),4),[13]設定!$H50))</f>
        <v>12.5</v>
      </c>
      <c r="I36" s="55">
        <f>IF($D36="","",IF([13]設定!$H50="",INDEX([13]第３表!$F$80:$Q$136,MATCH([13]設定!$D50,[13]第３表!$C$80:$C$136,0),5),[13]設定!$H50))</f>
        <v>19</v>
      </c>
      <c r="J36" s="55">
        <f>IF($D36="","",IF([13]設定!$H50="",INDEX([13]第３表!$F$80:$Q$136,MATCH([13]設定!$D50,[13]第３表!$C$80:$C$136,0),6),[13]設定!$H50))</f>
        <v>166.4</v>
      </c>
      <c r="K36" s="55">
        <f>IF($D36="","",IF([13]設定!$H50="",INDEX([13]第３表!$F$80:$Q$136,MATCH([13]設定!$D50,[13]第３表!$C$80:$C$136,0),7),[13]設定!$H50))</f>
        <v>150.69999999999999</v>
      </c>
      <c r="L36" s="55">
        <f>IF($D36="","",IF([13]設定!$H50="",INDEX([13]第３表!$F$80:$Q$136,MATCH([13]設定!$D50,[13]第３表!$C$80:$C$136,0),8),[13]設定!$H50))</f>
        <v>15.7</v>
      </c>
      <c r="M36" s="55">
        <f>IF($D36="","",IF([13]設定!$H50="",INDEX([13]第３表!$F$80:$Q$136,MATCH([13]設定!$D50,[13]第３表!$C$80:$C$136,0),9),[13]設定!$H50))</f>
        <v>19</v>
      </c>
      <c r="N36" s="55">
        <f>IF($D36="","",IF([13]設定!$H50="",INDEX([13]第３表!$F$80:$Q$136,MATCH([13]設定!$D50,[13]第３表!$C$80:$C$136,0),10),[13]設定!$H50))</f>
        <v>147.9</v>
      </c>
      <c r="O36" s="55">
        <f>IF($D36="","",IF([13]設定!$H50="",INDEX([13]第３表!$F$80:$Q$136,MATCH([13]設定!$D50,[13]第３表!$C$80:$C$136,0),11),[13]設定!$H50))</f>
        <v>141.5</v>
      </c>
      <c r="P36" s="55">
        <f>IF($D36="","",IF([13]設定!$H50="",INDEX([13]第３表!$F$80:$Q$136,MATCH([13]設定!$D50,[13]第３表!$C$80:$C$136,0),12),[13]設定!$H50))</f>
        <v>6.4</v>
      </c>
    </row>
    <row r="37" spans="2:17" s="8" customFormat="1" ht="17.25" customHeight="1" x14ac:dyDescent="0.45">
      <c r="B37" s="49" t="str">
        <f>+[14]第５表!B37</f>
        <v>E29</v>
      </c>
      <c r="C37" s="50"/>
      <c r="D37" s="65" t="str">
        <f>+[14]第５表!D37</f>
        <v>電気機械器具</v>
      </c>
      <c r="E37" s="55">
        <f>IF($D37="","",IF([13]設定!$H51="",INDEX([13]第３表!$F$80:$Q$136,MATCH([13]設定!$D51,[13]第３表!$C$80:$C$136,0),1),[13]設定!$H51))</f>
        <v>21.1</v>
      </c>
      <c r="F37" s="55">
        <f>IF($D37="","",IF([13]設定!$H51="",INDEX([13]第３表!$F$80:$Q$136,MATCH([13]設定!$D51,[13]第３表!$C$80:$C$136,0),2),[13]設定!$H51))</f>
        <v>170.6</v>
      </c>
      <c r="G37" s="55">
        <f>IF($D37="","",IF([13]設定!$H51="",INDEX([13]第３表!$F$80:$Q$136,MATCH([13]設定!$D51,[13]第３表!$C$80:$C$136,0),3),[13]設定!$H51))</f>
        <v>161.80000000000001</v>
      </c>
      <c r="H37" s="55">
        <f>IF($D37="","",IF([13]設定!$H51="",INDEX([13]第３表!$F$80:$Q$136,MATCH([13]設定!$D51,[13]第３表!$C$80:$C$136,0),4),[13]設定!$H51))</f>
        <v>8.8000000000000007</v>
      </c>
      <c r="I37" s="55">
        <f>IF($D37="","",IF([13]設定!$H51="",INDEX([13]第３表!$F$80:$Q$136,MATCH([13]設定!$D51,[13]第３表!$C$80:$C$136,0),5),[13]設定!$H51))</f>
        <v>21.4</v>
      </c>
      <c r="J37" s="55">
        <f>IF($D37="","",IF([13]設定!$H51="",INDEX([13]第３表!$F$80:$Q$136,MATCH([13]設定!$D51,[13]第３表!$C$80:$C$136,0),6),[13]設定!$H51))</f>
        <v>176.2</v>
      </c>
      <c r="K37" s="55">
        <f>IF($D37="","",IF([13]設定!$H51="",INDEX([13]第３表!$F$80:$Q$136,MATCH([13]設定!$D51,[13]第３表!$C$80:$C$136,0),7),[13]設定!$H51))</f>
        <v>164.8</v>
      </c>
      <c r="L37" s="55">
        <f>IF($D37="","",IF([13]設定!$H51="",INDEX([13]第３表!$F$80:$Q$136,MATCH([13]設定!$D51,[13]第３表!$C$80:$C$136,0),8),[13]設定!$H51))</f>
        <v>11.4</v>
      </c>
      <c r="M37" s="55">
        <f>IF($D37="","",IF([13]設定!$H51="",INDEX([13]第３表!$F$80:$Q$136,MATCH([13]設定!$D51,[13]第３表!$C$80:$C$136,0),9),[13]設定!$H51))</f>
        <v>20.399999999999999</v>
      </c>
      <c r="N37" s="55">
        <f>IF($D37="","",IF([13]設定!$H51="",INDEX([13]第３表!$F$80:$Q$136,MATCH([13]設定!$D51,[13]第３表!$C$80:$C$136,0),10),[13]設定!$H51))</f>
        <v>156.6</v>
      </c>
      <c r="O37" s="55">
        <f>IF($D37="","",IF([13]設定!$H51="",INDEX([13]第３表!$F$80:$Q$136,MATCH([13]設定!$D51,[13]第３表!$C$80:$C$136,0),11),[13]設定!$H51))</f>
        <v>154.5</v>
      </c>
      <c r="P37" s="55">
        <f>IF($D37="","",IF([13]設定!$H51="",INDEX([13]第３表!$F$80:$Q$136,MATCH([13]設定!$D51,[13]第３表!$C$80:$C$136,0),12),[13]設定!$H51))</f>
        <v>2.1</v>
      </c>
    </row>
    <row r="38" spans="2:17" s="8" customFormat="1" ht="17.25" customHeight="1" x14ac:dyDescent="0.45">
      <c r="B38" s="49" t="str">
        <f>+[14]第５表!B38</f>
        <v>E31</v>
      </c>
      <c r="C38" s="50"/>
      <c r="D38" s="65" t="str">
        <f>+[14]第５表!D38</f>
        <v>輸送用機械器具</v>
      </c>
      <c r="E38" s="55">
        <f>IF($D38="","",IF([13]設定!$H52="",INDEX([13]第３表!$F$80:$Q$136,MATCH([13]設定!$D52,[13]第３表!$C$80:$C$136,0),1),[13]設定!$H52))</f>
        <v>18.899999999999999</v>
      </c>
      <c r="F38" s="55">
        <f>IF($D38="","",IF([13]設定!$H52="",INDEX([13]第３表!$F$80:$Q$136,MATCH([13]設定!$D52,[13]第３表!$C$80:$C$136,0),2),[13]設定!$H52))</f>
        <v>173.5</v>
      </c>
      <c r="G38" s="55">
        <f>IF($D38="","",IF([13]設定!$H52="",INDEX([13]第３表!$F$80:$Q$136,MATCH([13]設定!$D52,[13]第３表!$C$80:$C$136,0),3),[13]設定!$H52))</f>
        <v>151.80000000000001</v>
      </c>
      <c r="H38" s="55">
        <f>IF($D38="","",IF([13]設定!$H52="",INDEX([13]第３表!$F$80:$Q$136,MATCH([13]設定!$D52,[13]第３表!$C$80:$C$136,0),4),[13]設定!$H52))</f>
        <v>21.7</v>
      </c>
      <c r="I38" s="55">
        <f>IF($D38="","",IF([13]設定!$H52="",INDEX([13]第３表!$F$80:$Q$136,MATCH([13]設定!$D52,[13]第３表!$C$80:$C$136,0),5),[13]設定!$H52))</f>
        <v>19</v>
      </c>
      <c r="J38" s="55">
        <f>IF($D38="","",IF([13]設定!$H52="",INDEX([13]第３表!$F$80:$Q$136,MATCH([13]設定!$D52,[13]第３表!$C$80:$C$136,0),6),[13]設定!$H52))</f>
        <v>178.1</v>
      </c>
      <c r="K38" s="55">
        <f>IF($D38="","",IF([13]設定!$H52="",INDEX([13]第３表!$F$80:$Q$136,MATCH([13]設定!$D52,[13]第３表!$C$80:$C$136,0),7),[13]設定!$H52))</f>
        <v>154.5</v>
      </c>
      <c r="L38" s="55">
        <f>IF($D38="","",IF([13]設定!$H52="",INDEX([13]第３表!$F$80:$Q$136,MATCH([13]設定!$D52,[13]第３表!$C$80:$C$136,0),8),[13]設定!$H52))</f>
        <v>23.6</v>
      </c>
      <c r="M38" s="55">
        <f>IF($D38="","",IF([13]設定!$H52="",INDEX([13]第３表!$F$80:$Q$136,MATCH([13]設定!$D52,[13]第３表!$C$80:$C$136,0),9),[13]設定!$H52))</f>
        <v>18.600000000000001</v>
      </c>
      <c r="N38" s="55">
        <f>IF($D38="","",IF([13]設定!$H52="",INDEX([13]第３表!$F$80:$Q$136,MATCH([13]設定!$D52,[13]第３表!$C$80:$C$136,0),10),[13]設定!$H52))</f>
        <v>156.5</v>
      </c>
      <c r="O38" s="55">
        <f>IF($D38="","",IF([13]設定!$H52="",INDEX([13]第３表!$F$80:$Q$136,MATCH([13]設定!$D52,[13]第３表!$C$80:$C$136,0),11),[13]設定!$H52))</f>
        <v>141.80000000000001</v>
      </c>
      <c r="P38" s="55">
        <f>IF($D38="","",IF([13]設定!$H52="",INDEX([13]第３表!$F$80:$Q$136,MATCH([13]設定!$D52,[13]第３表!$C$80:$C$136,0),12),[13]設定!$H52))</f>
        <v>14.7</v>
      </c>
    </row>
    <row r="39" spans="2:17" s="8" customFormat="1" ht="17.25" customHeight="1" x14ac:dyDescent="0.45">
      <c r="B39" s="66" t="str">
        <f>+[14]第５表!B39</f>
        <v>ES</v>
      </c>
      <c r="C39" s="67"/>
      <c r="D39" s="68" t="str">
        <f>+[14]第５表!D39</f>
        <v>はん用・生産用機械器具</v>
      </c>
      <c r="E39" s="69">
        <f>IF($D39="","",IF([13]設定!$H53="",INDEX([13]第３表!$F$80:$Q$136,MATCH([13]設定!$D53,[13]第３表!$C$80:$C$136,0),1),[13]設定!$H53))</f>
        <v>21</v>
      </c>
      <c r="F39" s="69">
        <f>IF($D39="","",IF([13]設定!$H53="",INDEX([13]第３表!$F$80:$Q$136,MATCH([13]設定!$D53,[13]第３表!$C$80:$C$136,0),2),[13]設定!$H53))</f>
        <v>178.7</v>
      </c>
      <c r="G39" s="69">
        <f>IF($D39="","",IF([13]設定!$H53="",INDEX([13]第３表!$F$80:$Q$136,MATCH([13]設定!$D53,[13]第３表!$C$80:$C$136,0),3),[13]設定!$H53))</f>
        <v>159</v>
      </c>
      <c r="H39" s="69">
        <f>IF($D39="","",IF([13]設定!$H53="",INDEX([13]第３表!$F$80:$Q$136,MATCH([13]設定!$D53,[13]第３表!$C$80:$C$136,0),4),[13]設定!$H53))</f>
        <v>19.7</v>
      </c>
      <c r="I39" s="69">
        <f>IF($D39="","",IF([13]設定!$H53="",INDEX([13]第３表!$F$80:$Q$136,MATCH([13]設定!$D53,[13]第３表!$C$80:$C$136,0),5),[13]設定!$H53))</f>
        <v>21.7</v>
      </c>
      <c r="J39" s="69">
        <f>IF($D39="","",IF([13]設定!$H53="",INDEX([13]第３表!$F$80:$Q$136,MATCH([13]設定!$D53,[13]第３表!$C$80:$C$136,0),6),[13]設定!$H53))</f>
        <v>188.7</v>
      </c>
      <c r="K39" s="69">
        <f>IF($D39="","",IF([13]設定!$H53="",INDEX([13]第３表!$F$80:$Q$136,MATCH([13]設定!$D53,[13]第３表!$C$80:$C$136,0),7),[13]設定!$H53))</f>
        <v>162</v>
      </c>
      <c r="L39" s="69">
        <f>IF($D39="","",IF([13]設定!$H53="",INDEX([13]第３表!$F$80:$Q$136,MATCH([13]設定!$D53,[13]第３表!$C$80:$C$136,0),8),[13]設定!$H53))</f>
        <v>26.7</v>
      </c>
      <c r="M39" s="69">
        <f>IF($D39="","",IF([13]設定!$H53="",INDEX([13]第３表!$F$80:$Q$136,MATCH([13]設定!$D53,[13]第３表!$C$80:$C$136,0),9),[13]設定!$H53))</f>
        <v>19.399999999999999</v>
      </c>
      <c r="N39" s="69">
        <f>IF($D39="","",IF([13]設定!$H53="",INDEX([13]第３表!$F$80:$Q$136,MATCH([13]設定!$D53,[13]第３表!$C$80:$C$136,0),10),[13]設定!$H53))</f>
        <v>156.1</v>
      </c>
      <c r="O39" s="69">
        <f>IF($D39="","",IF([13]設定!$H53="",INDEX([13]第３表!$F$80:$Q$136,MATCH([13]設定!$D53,[13]第３表!$C$80:$C$136,0),11),[13]設定!$H53))</f>
        <v>152.30000000000001</v>
      </c>
      <c r="P39" s="69">
        <f>IF($D39="","",IF([13]設定!$H53="",INDEX([13]第３表!$F$80:$Q$136,MATCH([13]設定!$D53,[13]第３表!$C$80:$C$136,0),12),[13]設定!$H53))</f>
        <v>3.8</v>
      </c>
    </row>
    <row r="40" spans="2:17" s="8" customFormat="1" ht="16.2" customHeight="1" x14ac:dyDescent="0.45">
      <c r="B40" s="70" t="str">
        <f>+[14]第５表!B40</f>
        <v>R91</v>
      </c>
      <c r="C40" s="71"/>
      <c r="D40" s="72" t="str">
        <f>+[14]第５表!D40</f>
        <v>職業紹介・労働者派遣業</v>
      </c>
      <c r="E40" s="73">
        <f>IF($D40="","",IF([13]設定!$H54="",INDEX([13]第３表!$F$80:$Q$136,MATCH([13]設定!$D54,[13]第３表!$C$80:$C$136,0),1),[13]設定!$H54))</f>
        <v>18.2</v>
      </c>
      <c r="F40" s="73">
        <f>IF($D40="","",IF([13]設定!$H54="",INDEX([13]第３表!$F$80:$Q$136,MATCH([13]設定!$D54,[13]第３表!$C$80:$C$136,0),2),[13]設定!$H54))</f>
        <v>147.4</v>
      </c>
      <c r="G40" s="73">
        <f>IF($D40="","",IF([13]設定!$H54="",INDEX([13]第３表!$F$80:$Q$136,MATCH([13]設定!$D54,[13]第３表!$C$80:$C$136,0),3),[13]設定!$H54))</f>
        <v>138.69999999999999</v>
      </c>
      <c r="H40" s="73">
        <f>IF($D40="","",IF([13]設定!$H54="",INDEX([13]第３表!$F$80:$Q$136,MATCH([13]設定!$D54,[13]第３表!$C$80:$C$136,0),4),[13]設定!$H54))</f>
        <v>8.6999999999999993</v>
      </c>
      <c r="I40" s="73">
        <f>IF($D40="","",IF([13]設定!$H54="",INDEX([13]第３表!$F$80:$Q$136,MATCH([13]設定!$D54,[13]第３表!$C$80:$C$136,0),5),[13]設定!$H54))</f>
        <v>18.5</v>
      </c>
      <c r="J40" s="73">
        <f>IF($D40="","",IF([13]設定!$H54="",INDEX([13]第３表!$F$80:$Q$136,MATCH([13]設定!$D54,[13]第３表!$C$80:$C$136,0),6),[13]設定!$H54))</f>
        <v>161.69999999999999</v>
      </c>
      <c r="K40" s="73">
        <f>IF($D40="","",IF([13]設定!$H54="",INDEX([13]第３表!$F$80:$Q$136,MATCH([13]設定!$D54,[13]第３表!$C$80:$C$136,0),7),[13]設定!$H54))</f>
        <v>148.1</v>
      </c>
      <c r="L40" s="73">
        <f>IF($D40="","",IF([13]設定!$H54="",INDEX([13]第３表!$F$80:$Q$136,MATCH([13]設定!$D54,[13]第３表!$C$80:$C$136,0),8),[13]設定!$H54))</f>
        <v>13.6</v>
      </c>
      <c r="M40" s="73">
        <f>IF($D40="","",IF([13]設定!$H54="",INDEX([13]第３表!$F$80:$Q$136,MATCH([13]設定!$D54,[13]第３表!$C$80:$C$136,0),9),[13]設定!$H54))</f>
        <v>17.8</v>
      </c>
      <c r="N40" s="73">
        <f>IF($D40="","",IF([13]設定!$H54="",INDEX([13]第３表!$F$80:$Q$136,MATCH([13]設定!$D54,[13]第３表!$C$80:$C$136,0),10),[13]設定!$H54))</f>
        <v>135.80000000000001</v>
      </c>
      <c r="O40" s="73">
        <f>IF($D40="","",IF([13]設定!$H54="",INDEX([13]第３表!$F$80:$Q$136,MATCH([13]設定!$D54,[13]第３表!$C$80:$C$136,0),11),[13]設定!$H54))</f>
        <v>131.1</v>
      </c>
      <c r="P40" s="73">
        <f>IF($D40="","",IF([13]設定!$H54="",INDEX([13]第３表!$F$80:$Q$136,MATCH([13]設定!$D54,[13]第３表!$C$80:$C$136,0),12),[13]設定!$H54))</f>
        <v>4.7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IF($D47="","",IF([13]設定!$I23="",INDEX([13]第３表!$F$10:$Q$66,MATCH([13]設定!$D23,[13]第３表!$C$10:$C$66,0),1),[13]設定!$I23))</f>
        <v>18.7</v>
      </c>
      <c r="F47" s="48">
        <f>IF($D47="","",IF([13]設定!$I23="",INDEX([13]第３表!$F$10:$Q$66,MATCH([13]設定!$D23,[13]第３表!$C$10:$C$66,0),2),[13]設定!$I23))</f>
        <v>146</v>
      </c>
      <c r="G47" s="48">
        <f>IF($D47="","",IF([13]設定!$I23="",INDEX([13]第３表!$F$10:$Q$66,MATCH([13]設定!$D23,[13]第３表!$C$10:$C$66,0),3),[13]設定!$I23))</f>
        <v>135.1</v>
      </c>
      <c r="H47" s="48">
        <f>IF($D47="","",IF([13]設定!$I23="",INDEX([13]第３表!$F$10:$Q$66,MATCH([13]設定!$D23,[13]第３表!$C$10:$C$66,0),4),[13]設定!$I23))</f>
        <v>10.9</v>
      </c>
      <c r="I47" s="48">
        <f>IF($D47="","",IF([13]設定!$I23="",INDEX([13]第３表!$F$10:$Q$66,MATCH([13]設定!$D23,[13]第３表!$C$10:$C$66,0),5),[13]設定!$I23))</f>
        <v>19.3</v>
      </c>
      <c r="J47" s="48">
        <f>IF($D47="","",IF([13]設定!$I23="",INDEX([13]第３表!$F$10:$Q$66,MATCH([13]設定!$D23,[13]第３表!$C$10:$C$66,0),6),[13]設定!$I23))</f>
        <v>159.9</v>
      </c>
      <c r="K47" s="48">
        <f>IF($D47="","",IF([13]設定!$I23="",INDEX([13]第３表!$F$10:$Q$66,MATCH([13]設定!$D23,[13]第３表!$C$10:$C$66,0),7),[13]設定!$I23))</f>
        <v>144.4</v>
      </c>
      <c r="L47" s="48">
        <f>IF($D47="","",IF([13]設定!$I23="",INDEX([13]第３表!$F$10:$Q$66,MATCH([13]設定!$D23,[13]第３表!$C$10:$C$66,0),8),[13]設定!$I23))</f>
        <v>15.5</v>
      </c>
      <c r="M47" s="48">
        <f>IF($D47="","",IF([13]設定!$I23="",INDEX([13]第３表!$F$10:$Q$66,MATCH([13]設定!$D23,[13]第３表!$C$10:$C$66,0),9),[13]設定!$I23))</f>
        <v>18.2</v>
      </c>
      <c r="N47" s="48">
        <f>IF($D47="","",IF([13]設定!$I23="",INDEX([13]第３表!$F$10:$Q$66,MATCH([13]設定!$D23,[13]第３表!$C$10:$C$66,0),10),[13]設定!$I23))</f>
        <v>132.4</v>
      </c>
      <c r="O47" s="48">
        <f>IF($D47="","",IF([13]設定!$I23="",INDEX([13]第３表!$F$10:$Q$66,MATCH([13]設定!$D23,[13]第３表!$C$10:$C$66,0),11),[13]設定!$I23))</f>
        <v>126</v>
      </c>
      <c r="P47" s="48">
        <f>IF($D47="","",IF([13]設定!$I23="",INDEX([13]第３表!$F$10:$Q$66,MATCH([13]設定!$D23,[13]第３表!$C$10:$C$66,0),12),[13]設定!$I23))</f>
        <v>6.4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IF($D48="","",IF([13]設定!$I24="",INDEX([13]第３表!$F$10:$Q$66,MATCH([13]設定!$D24,[13]第３表!$C$10:$C$66,0),1),[13]設定!$I24))</f>
        <v>21.3</v>
      </c>
      <c r="F48" s="52">
        <f>IF($D48="","",IF([13]設定!$I24="",INDEX([13]第３表!$F$10:$Q$66,MATCH([13]設定!$D24,[13]第３表!$C$10:$C$66,0),2),[13]設定!$I24))</f>
        <v>169.1</v>
      </c>
      <c r="G48" s="52">
        <f>IF($D48="","",IF([13]設定!$I24="",INDEX([13]第３表!$F$10:$Q$66,MATCH([13]設定!$D24,[13]第３表!$C$10:$C$66,0),3),[13]設定!$I24))</f>
        <v>159.69999999999999</v>
      </c>
      <c r="H48" s="53">
        <f>IF($D48="","",IF([13]設定!$I24="",INDEX([13]第３表!$F$10:$Q$66,MATCH([13]設定!$D24,[13]第３表!$C$10:$C$66,0),4),[13]設定!$I24))</f>
        <v>9.4</v>
      </c>
      <c r="I48" s="54">
        <f>IF($D48="","",IF([13]設定!$I24="",INDEX([13]第３表!$F$10:$Q$66,MATCH([13]設定!$D24,[13]第３表!$C$10:$C$66,0),5),[13]設定!$I24))</f>
        <v>21.4</v>
      </c>
      <c r="J48" s="54">
        <f>IF($D48="","",IF([13]設定!$I24="",INDEX([13]第３表!$F$10:$Q$66,MATCH([13]設定!$D24,[13]第３表!$C$10:$C$66,0),6),[13]設定!$I24))</f>
        <v>170.5</v>
      </c>
      <c r="K48" s="54">
        <f>IF($D48="","",IF([13]設定!$I24="",INDEX([13]第３表!$F$10:$Q$66,MATCH([13]設定!$D24,[13]第３表!$C$10:$C$66,0),7),[13]設定!$I24))</f>
        <v>160.19999999999999</v>
      </c>
      <c r="L48" s="55">
        <f>IF($D48="","",IF([13]設定!$I24="",INDEX([13]第３表!$F$10:$Q$66,MATCH([13]設定!$D24,[13]第３表!$C$10:$C$66,0),8),[13]設定!$I24))</f>
        <v>10.3</v>
      </c>
      <c r="M48" s="56">
        <f>IF($D48="","",IF([13]設定!$I24="",INDEX([13]第３表!$F$10:$Q$66,MATCH([13]設定!$D24,[13]第３表!$C$10:$C$66,0),9),[13]設定!$I24))</f>
        <v>20.6</v>
      </c>
      <c r="N48" s="56">
        <f>IF($D48="","",IF([13]設定!$I24="",INDEX([13]第３表!$F$10:$Q$66,MATCH([13]設定!$D24,[13]第３表!$C$10:$C$66,0),10),[13]設定!$I24))</f>
        <v>162.80000000000001</v>
      </c>
      <c r="O48" s="56">
        <f>IF($D48="","",IF([13]設定!$I24="",INDEX([13]第３表!$F$10:$Q$66,MATCH([13]設定!$D24,[13]第３表!$C$10:$C$66,0),11),[13]設定!$I24))</f>
        <v>157.30000000000001</v>
      </c>
      <c r="P48" s="57">
        <f>IF($D48="","",IF([13]設定!$I24="",INDEX([13]第３表!$F$10:$Q$66,MATCH([13]設定!$D24,[13]第３表!$C$10:$C$66,0),12),[13]設定!$I24))</f>
        <v>5.5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IF($D49="","",IF([13]設定!$I25="",INDEX([13]第３表!$F$10:$Q$66,MATCH([13]設定!$D25,[13]第３表!$C$10:$C$66,0),1),[13]設定!$I25))</f>
        <v>19.600000000000001</v>
      </c>
      <c r="F49" s="52">
        <f>IF($D49="","",IF([13]設定!$I25="",INDEX([13]第３表!$F$10:$Q$66,MATCH([13]設定!$D25,[13]第３表!$C$10:$C$66,0),2),[13]設定!$I25))</f>
        <v>160.4</v>
      </c>
      <c r="G49" s="52">
        <f>IF($D49="","",IF([13]設定!$I25="",INDEX([13]第３表!$F$10:$Q$66,MATCH([13]設定!$D25,[13]第３表!$C$10:$C$66,0),3),[13]設定!$I25))</f>
        <v>147.1</v>
      </c>
      <c r="H49" s="53">
        <f>IF($D49="","",IF([13]設定!$I25="",INDEX([13]第３表!$F$10:$Q$66,MATCH([13]設定!$D25,[13]第３表!$C$10:$C$66,0),4),[13]設定!$I25))</f>
        <v>13.3</v>
      </c>
      <c r="I49" s="54">
        <f>IF($D49="","",IF([13]設定!$I25="",INDEX([13]第３表!$F$10:$Q$66,MATCH([13]設定!$D25,[13]第３表!$C$10:$C$66,0),5),[13]設定!$I25))</f>
        <v>19.899999999999999</v>
      </c>
      <c r="J49" s="54">
        <f>IF($D49="","",IF([13]設定!$I25="",INDEX([13]第３表!$F$10:$Q$66,MATCH([13]設定!$D25,[13]第３表!$C$10:$C$66,0),6),[13]設定!$I25))</f>
        <v>167.6</v>
      </c>
      <c r="K49" s="54">
        <f>IF($D49="","",IF([13]設定!$I25="",INDEX([13]第３表!$F$10:$Q$66,MATCH([13]設定!$D25,[13]第３表!$C$10:$C$66,0),7),[13]設定!$I25))</f>
        <v>151.1</v>
      </c>
      <c r="L49" s="55">
        <f>IF($D49="","",IF([13]設定!$I25="",INDEX([13]第３表!$F$10:$Q$66,MATCH([13]設定!$D25,[13]第３表!$C$10:$C$66,0),8),[13]設定!$I25))</f>
        <v>16.5</v>
      </c>
      <c r="M49" s="56">
        <f>IF($D49="","",IF([13]設定!$I25="",INDEX([13]第３表!$F$10:$Q$66,MATCH([13]設定!$D25,[13]第３表!$C$10:$C$66,0),9),[13]設定!$I25))</f>
        <v>19.2</v>
      </c>
      <c r="N49" s="56">
        <f>IF($D49="","",IF([13]設定!$I25="",INDEX([13]第３表!$F$10:$Q$66,MATCH([13]設定!$D25,[13]第３表!$C$10:$C$66,0),10),[13]設定!$I25))</f>
        <v>149.1</v>
      </c>
      <c r="O49" s="56">
        <f>IF($D49="","",IF([13]設定!$I25="",INDEX([13]第３表!$F$10:$Q$66,MATCH([13]設定!$D25,[13]第３表!$C$10:$C$66,0),11),[13]設定!$I25))</f>
        <v>140.9</v>
      </c>
      <c r="P49" s="57">
        <f>IF($D49="","",IF([13]設定!$I25="",INDEX([13]第３表!$F$10:$Q$66,MATCH([13]設定!$D25,[13]第３表!$C$10:$C$66,0),12),[13]設定!$I25))</f>
        <v>8.1999999999999993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IF($D50="","",IF([13]設定!$I26="",INDEX([13]第３表!$F$10:$Q$66,MATCH([13]設定!$D26,[13]第３表!$C$10:$C$66,0),1),[13]設定!$I26))</f>
        <v>18.399999999999999</v>
      </c>
      <c r="F50" s="52">
        <f>IF($D50="","",IF([13]設定!$I26="",INDEX([13]第３表!$F$10:$Q$66,MATCH([13]設定!$D26,[13]第３表!$C$10:$C$66,0),2),[13]設定!$I26))</f>
        <v>148.69999999999999</v>
      </c>
      <c r="G50" s="52">
        <f>IF($D50="","",IF([13]設定!$I26="",INDEX([13]第３表!$F$10:$Q$66,MATCH([13]設定!$D26,[13]第３表!$C$10:$C$66,0),3),[13]設定!$I26))</f>
        <v>133.69999999999999</v>
      </c>
      <c r="H50" s="53">
        <f>IF($D50="","",IF([13]設定!$I26="",INDEX([13]第３表!$F$10:$Q$66,MATCH([13]設定!$D26,[13]第３表!$C$10:$C$66,0),4),[13]設定!$I26))</f>
        <v>15</v>
      </c>
      <c r="I50" s="54">
        <f>IF($D50="","",IF([13]設定!$I26="",INDEX([13]第３表!$F$10:$Q$66,MATCH([13]設定!$D26,[13]第３表!$C$10:$C$66,0),5),[13]設定!$I26))</f>
        <v>18.399999999999999</v>
      </c>
      <c r="J50" s="54">
        <f>IF($D50="","",IF([13]設定!$I26="",INDEX([13]第３表!$F$10:$Q$66,MATCH([13]設定!$D26,[13]第３表!$C$10:$C$66,0),6),[13]設定!$I26))</f>
        <v>152</v>
      </c>
      <c r="K50" s="54">
        <f>IF($D50="","",IF([13]設定!$I26="",INDEX([13]第３表!$F$10:$Q$66,MATCH([13]設定!$D26,[13]第３表!$C$10:$C$66,0),7),[13]設定!$I26))</f>
        <v>135.19999999999999</v>
      </c>
      <c r="L50" s="55">
        <f>IF($D50="","",IF([13]設定!$I26="",INDEX([13]第３表!$F$10:$Q$66,MATCH([13]設定!$D26,[13]第３表!$C$10:$C$66,0),8),[13]設定!$I26))</f>
        <v>16.8</v>
      </c>
      <c r="M50" s="56">
        <f>IF($D50="","",IF([13]設定!$I26="",INDEX([13]第３表!$F$10:$Q$66,MATCH([13]設定!$D26,[13]第３表!$C$10:$C$66,0),9),[13]設定!$I26))</f>
        <v>18.3</v>
      </c>
      <c r="N50" s="56">
        <f>IF($D50="","",IF([13]設定!$I26="",INDEX([13]第３表!$F$10:$Q$66,MATCH([13]設定!$D26,[13]第３表!$C$10:$C$66,0),10),[13]設定!$I26))</f>
        <v>128.30000000000001</v>
      </c>
      <c r="O50" s="56">
        <f>IF($D50="","",IF([13]設定!$I26="",INDEX([13]第３表!$F$10:$Q$66,MATCH([13]設定!$D26,[13]第３表!$C$10:$C$66,0),11),[13]設定!$I26))</f>
        <v>124.3</v>
      </c>
      <c r="P50" s="57">
        <f>IF($D50="","",IF([13]設定!$I26="",INDEX([13]第３表!$F$10:$Q$66,MATCH([13]設定!$D26,[13]第３表!$C$10:$C$66,0),12),[13]設定!$I26))</f>
        <v>4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IF($D51="","",IF([13]設定!$I27="",INDEX([13]第３表!$F$10:$Q$66,MATCH([13]設定!$D27,[13]第３表!$C$10:$C$66,0),1),[13]設定!$I27))</f>
        <v>18.399999999999999</v>
      </c>
      <c r="F51" s="52">
        <f>IF($D51="","",IF([13]設定!$I27="",INDEX([13]第３表!$F$10:$Q$66,MATCH([13]設定!$D27,[13]第３表!$C$10:$C$66,0),2),[13]設定!$I27))</f>
        <v>153.4</v>
      </c>
      <c r="G51" s="52">
        <f>IF($D51="","",IF([13]設定!$I27="",INDEX([13]第３表!$F$10:$Q$66,MATCH([13]設定!$D27,[13]第３表!$C$10:$C$66,0),3),[13]設定!$I27))</f>
        <v>142.1</v>
      </c>
      <c r="H51" s="53">
        <f>IF($D51="","",IF([13]設定!$I27="",INDEX([13]第３表!$F$10:$Q$66,MATCH([13]設定!$D27,[13]第３表!$C$10:$C$66,0),4),[13]設定!$I27))</f>
        <v>11.3</v>
      </c>
      <c r="I51" s="54">
        <f>IF($D51="","",IF([13]設定!$I27="",INDEX([13]第３表!$F$10:$Q$66,MATCH([13]設定!$D27,[13]第３表!$C$10:$C$66,0),5),[13]設定!$I27))</f>
        <v>18.399999999999999</v>
      </c>
      <c r="J51" s="54">
        <f>IF($D51="","",IF([13]設定!$I27="",INDEX([13]第３表!$F$10:$Q$66,MATCH([13]設定!$D27,[13]第３表!$C$10:$C$66,0),6),[13]設定!$I27))</f>
        <v>156</v>
      </c>
      <c r="K51" s="54">
        <f>IF($D51="","",IF([13]設定!$I27="",INDEX([13]第３表!$F$10:$Q$66,MATCH([13]設定!$D27,[13]第３表!$C$10:$C$66,0),7),[13]設定!$I27))</f>
        <v>144.19999999999999</v>
      </c>
      <c r="L51" s="55">
        <f>IF($D51="","",IF([13]設定!$I27="",INDEX([13]第３表!$F$10:$Q$66,MATCH([13]設定!$D27,[13]第３表!$C$10:$C$66,0),8),[13]設定!$I27))</f>
        <v>11.8</v>
      </c>
      <c r="M51" s="56">
        <f>IF($D51="","",IF([13]設定!$I27="",INDEX([13]第３表!$F$10:$Q$66,MATCH([13]設定!$D27,[13]第３表!$C$10:$C$66,0),9),[13]設定!$I27))</f>
        <v>18.399999999999999</v>
      </c>
      <c r="N51" s="56">
        <f>IF($D51="","",IF([13]設定!$I27="",INDEX([13]第３表!$F$10:$Q$66,MATCH([13]設定!$D27,[13]第３表!$C$10:$C$66,0),10),[13]設定!$I27))</f>
        <v>147.80000000000001</v>
      </c>
      <c r="O51" s="56">
        <f>IF($D51="","",IF([13]設定!$I27="",INDEX([13]第３表!$F$10:$Q$66,MATCH([13]設定!$D27,[13]第３表!$C$10:$C$66,0),11),[13]設定!$I27))</f>
        <v>137.5</v>
      </c>
      <c r="P51" s="57">
        <f>IF($D51="","",IF([13]設定!$I27="",INDEX([13]第３表!$F$10:$Q$66,MATCH([13]設定!$D27,[13]第３表!$C$10:$C$66,0),12),[13]設定!$I27))</f>
        <v>10.3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IF($D52="","",IF([13]設定!$I28="",INDEX([13]第３表!$F$10:$Q$66,MATCH([13]設定!$D28,[13]第３表!$C$10:$C$66,0),1),[13]設定!$I28))</f>
        <v>20.7</v>
      </c>
      <c r="F52" s="52">
        <f>IF($D52="","",IF([13]設定!$I28="",INDEX([13]第３表!$F$10:$Q$66,MATCH([13]設定!$D28,[13]第３表!$C$10:$C$66,0),2),[13]設定!$I28))</f>
        <v>175.1</v>
      </c>
      <c r="G52" s="52">
        <f>IF($D52="","",IF([13]設定!$I28="",INDEX([13]第３表!$F$10:$Q$66,MATCH([13]設定!$D28,[13]第３表!$C$10:$C$66,0),3),[13]設定!$I28))</f>
        <v>149.80000000000001</v>
      </c>
      <c r="H52" s="53">
        <f>IF($D52="","",IF([13]設定!$I28="",INDEX([13]第３表!$F$10:$Q$66,MATCH([13]設定!$D28,[13]第３表!$C$10:$C$66,0),4),[13]設定!$I28))</f>
        <v>25.3</v>
      </c>
      <c r="I52" s="54">
        <f>IF($D52="","",IF([13]設定!$I28="",INDEX([13]第３表!$F$10:$Q$66,MATCH([13]設定!$D28,[13]第３表!$C$10:$C$66,0),5),[13]設定!$I28))</f>
        <v>20.8</v>
      </c>
      <c r="J52" s="54">
        <f>IF($D52="","",IF([13]設定!$I28="",INDEX([13]第３表!$F$10:$Q$66,MATCH([13]設定!$D28,[13]第３表!$C$10:$C$66,0),6),[13]設定!$I28))</f>
        <v>179.8</v>
      </c>
      <c r="K52" s="54">
        <f>IF($D52="","",IF([13]設定!$I28="",INDEX([13]第３表!$F$10:$Q$66,MATCH([13]設定!$D28,[13]第３表!$C$10:$C$66,0),7),[13]設定!$I28))</f>
        <v>151.9</v>
      </c>
      <c r="L52" s="55">
        <f>IF($D52="","",IF([13]設定!$I28="",INDEX([13]第３表!$F$10:$Q$66,MATCH([13]設定!$D28,[13]第３表!$C$10:$C$66,0),8),[13]設定!$I28))</f>
        <v>27.9</v>
      </c>
      <c r="M52" s="56">
        <f>IF($D52="","",IF([13]設定!$I28="",INDEX([13]第３表!$F$10:$Q$66,MATCH([13]設定!$D28,[13]第３表!$C$10:$C$66,0),9),[13]設定!$I28))</f>
        <v>20.2</v>
      </c>
      <c r="N52" s="56">
        <f>IF($D52="","",IF([13]設定!$I28="",INDEX([13]第３表!$F$10:$Q$66,MATCH([13]設定!$D28,[13]第３表!$C$10:$C$66,0),10),[13]設定!$I28))</f>
        <v>144.9</v>
      </c>
      <c r="O52" s="56">
        <f>IF($D52="","",IF([13]設定!$I28="",INDEX([13]第３表!$F$10:$Q$66,MATCH([13]設定!$D28,[13]第３表!$C$10:$C$66,0),11),[13]設定!$I28))</f>
        <v>136.6</v>
      </c>
      <c r="P52" s="57">
        <f>IF($D52="","",IF([13]設定!$I28="",INDEX([13]第３表!$F$10:$Q$66,MATCH([13]設定!$D28,[13]第３表!$C$10:$C$66,0),12),[13]設定!$I28))</f>
        <v>8.3000000000000007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IF($D53="","",IF([13]設定!$I29="",INDEX([13]第３表!$F$10:$Q$66,MATCH([13]設定!$D29,[13]第３表!$C$10:$C$66,0),1),[13]設定!$I29))</f>
        <v>18.2</v>
      </c>
      <c r="F53" s="52">
        <f>IF($D53="","",IF([13]設定!$I29="",INDEX([13]第３表!$F$10:$Q$66,MATCH([13]設定!$D29,[13]第３表!$C$10:$C$66,0),2),[13]設定!$I29))</f>
        <v>128.30000000000001</v>
      </c>
      <c r="G53" s="52">
        <f>IF($D53="","",IF([13]設定!$I29="",INDEX([13]第３表!$F$10:$Q$66,MATCH([13]設定!$D29,[13]第３表!$C$10:$C$66,0),3),[13]設定!$I29))</f>
        <v>120.3</v>
      </c>
      <c r="H53" s="53">
        <f>IF($D53="","",IF([13]設定!$I29="",INDEX([13]第３表!$F$10:$Q$66,MATCH([13]設定!$D29,[13]第３表!$C$10:$C$66,0),4),[13]設定!$I29))</f>
        <v>8</v>
      </c>
      <c r="I53" s="54">
        <f>IF($D53="","",IF([13]設定!$I29="",INDEX([13]第３表!$F$10:$Q$66,MATCH([13]設定!$D29,[13]第３表!$C$10:$C$66,0),5),[13]設定!$I29))</f>
        <v>19.5</v>
      </c>
      <c r="J53" s="54">
        <f>IF($D53="","",IF([13]設定!$I29="",INDEX([13]第３表!$F$10:$Q$66,MATCH([13]設定!$D29,[13]第３表!$C$10:$C$66,0),6),[13]設定!$I29))</f>
        <v>154.19999999999999</v>
      </c>
      <c r="K53" s="54">
        <f>IF($D53="","",IF([13]設定!$I29="",INDEX([13]第３表!$F$10:$Q$66,MATCH([13]設定!$D29,[13]第３表!$C$10:$C$66,0),7),[13]設定!$I29))</f>
        <v>140.69999999999999</v>
      </c>
      <c r="L53" s="55">
        <f>IF($D53="","",IF([13]設定!$I29="",INDEX([13]第３表!$F$10:$Q$66,MATCH([13]設定!$D29,[13]第３表!$C$10:$C$66,0),8),[13]設定!$I29))</f>
        <v>13.5</v>
      </c>
      <c r="M53" s="56">
        <f>IF($D53="","",IF([13]設定!$I29="",INDEX([13]第３表!$F$10:$Q$66,MATCH([13]設定!$D29,[13]第３表!$C$10:$C$66,0),9),[13]設定!$I29))</f>
        <v>17.3</v>
      </c>
      <c r="N53" s="56">
        <f>IF($D53="","",IF([13]設定!$I29="",INDEX([13]第３表!$F$10:$Q$66,MATCH([13]設定!$D29,[13]第３表!$C$10:$C$66,0),10),[13]設定!$I29))</f>
        <v>110.2</v>
      </c>
      <c r="O53" s="56">
        <f>IF($D53="","",IF([13]設定!$I29="",INDEX([13]第３表!$F$10:$Q$66,MATCH([13]設定!$D29,[13]第３表!$C$10:$C$66,0),11),[13]設定!$I29))</f>
        <v>106</v>
      </c>
      <c r="P53" s="57">
        <f>IF($D53="","",IF([13]設定!$I29="",INDEX([13]第３表!$F$10:$Q$66,MATCH([13]設定!$D29,[13]第３表!$C$10:$C$66,0),12),[13]設定!$I29))</f>
        <v>4.2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 t="str">
        <f>IF($D54="","",IF([13]設定!$I30="",INDEX([13]第３表!$F$10:$Q$66,MATCH([13]設定!$D30,[13]第３表!$C$10:$C$66,0),1),[13]設定!$I30))</f>
        <v>x</v>
      </c>
      <c r="F54" s="52" t="str">
        <f>IF($D54="","",IF([13]設定!$I30="",INDEX([13]第３表!$F$10:$Q$66,MATCH([13]設定!$D30,[13]第３表!$C$10:$C$66,0),2),[13]設定!$I30))</f>
        <v>x</v>
      </c>
      <c r="G54" s="52" t="str">
        <f>IF($D54="","",IF([13]設定!$I30="",INDEX([13]第３表!$F$10:$Q$66,MATCH([13]設定!$D30,[13]第３表!$C$10:$C$66,0),3),[13]設定!$I30))</f>
        <v>x</v>
      </c>
      <c r="H54" s="53" t="str">
        <f>IF($D54="","",IF([13]設定!$I30="",INDEX([13]第３表!$F$10:$Q$66,MATCH([13]設定!$D30,[13]第３表!$C$10:$C$66,0),4),[13]設定!$I30))</f>
        <v>x</v>
      </c>
      <c r="I54" s="54" t="str">
        <f>IF($D54="","",IF([13]設定!$I30="",INDEX([13]第３表!$F$10:$Q$66,MATCH([13]設定!$D30,[13]第３表!$C$10:$C$66,0),5),[13]設定!$I30))</f>
        <v>x</v>
      </c>
      <c r="J54" s="54" t="str">
        <f>IF($D54="","",IF([13]設定!$I30="",INDEX([13]第３表!$F$10:$Q$66,MATCH([13]設定!$D30,[13]第３表!$C$10:$C$66,0),6),[13]設定!$I30))</f>
        <v>x</v>
      </c>
      <c r="K54" s="54" t="str">
        <f>IF($D54="","",IF([13]設定!$I30="",INDEX([13]第３表!$F$10:$Q$66,MATCH([13]設定!$D30,[13]第３表!$C$10:$C$66,0),7),[13]設定!$I30))</f>
        <v>x</v>
      </c>
      <c r="L54" s="55" t="str">
        <f>IF($D54="","",IF([13]設定!$I30="",INDEX([13]第３表!$F$10:$Q$66,MATCH([13]設定!$D30,[13]第３表!$C$10:$C$66,0),8),[13]設定!$I30))</f>
        <v>x</v>
      </c>
      <c r="M54" s="56" t="str">
        <f>IF($D54="","",IF([13]設定!$I30="",INDEX([13]第３表!$F$10:$Q$66,MATCH([13]設定!$D30,[13]第３表!$C$10:$C$66,0),9),[13]設定!$I30))</f>
        <v>x</v>
      </c>
      <c r="N54" s="56" t="str">
        <f>IF($D54="","",IF([13]設定!$I30="",INDEX([13]第３表!$F$10:$Q$66,MATCH([13]設定!$D30,[13]第３表!$C$10:$C$66,0),10),[13]設定!$I30))</f>
        <v>x</v>
      </c>
      <c r="O54" s="56" t="str">
        <f>IF($D54="","",IF([13]設定!$I30="",INDEX([13]第３表!$F$10:$Q$66,MATCH([13]設定!$D30,[13]第３表!$C$10:$C$66,0),11),[13]設定!$I30))</f>
        <v>x</v>
      </c>
      <c r="P54" s="57" t="str">
        <f>IF($D54="","",IF([13]設定!$I30="",INDEX([13]第３表!$F$10:$Q$66,MATCH([13]設定!$D30,[13]第３表!$C$10:$C$66,0),12),[13]設定!$I30))</f>
        <v>x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IF($D55="","",IF([13]設定!$I31="",INDEX([13]第３表!$F$10:$Q$66,MATCH([13]設定!$D31,[13]第３表!$C$10:$C$66,0),1),[13]設定!$I31))</f>
        <v>20.2</v>
      </c>
      <c r="F55" s="52">
        <f>IF($D55="","",IF([13]設定!$I31="",INDEX([13]第３表!$F$10:$Q$66,MATCH([13]設定!$D31,[13]第３表!$C$10:$C$66,0),2),[13]設定!$I31))</f>
        <v>156.1</v>
      </c>
      <c r="G55" s="52">
        <f>IF($D55="","",IF([13]設定!$I31="",INDEX([13]第３表!$F$10:$Q$66,MATCH([13]設定!$D31,[13]第３表!$C$10:$C$66,0),3),[13]設定!$I31))</f>
        <v>152.6</v>
      </c>
      <c r="H55" s="52">
        <f>IF($D55="","",IF([13]設定!$I31="",INDEX([13]第３表!$F$10:$Q$66,MATCH([13]設定!$D31,[13]第３表!$C$10:$C$66,0),4),[13]設定!$I31))</f>
        <v>3.5</v>
      </c>
      <c r="I55" s="54">
        <f>IF($D55="","",IF([13]設定!$I31="",INDEX([13]第３表!$F$10:$Q$66,MATCH([13]設定!$D31,[13]第３表!$C$10:$C$66,0),5),[13]設定!$I31))</f>
        <v>21.1</v>
      </c>
      <c r="J55" s="54">
        <f>IF($D55="","",IF([13]設定!$I31="",INDEX([13]第３表!$F$10:$Q$66,MATCH([13]設定!$D31,[13]第３表!$C$10:$C$66,0),6),[13]設定!$I31))</f>
        <v>170</v>
      </c>
      <c r="K55" s="54">
        <f>IF($D55="","",IF([13]設定!$I31="",INDEX([13]第３表!$F$10:$Q$66,MATCH([13]設定!$D31,[13]第３表!$C$10:$C$66,0),7),[13]設定!$I31))</f>
        <v>164.9</v>
      </c>
      <c r="L55" s="55">
        <f>IF($D55="","",IF([13]設定!$I31="",INDEX([13]第３表!$F$10:$Q$66,MATCH([13]設定!$D31,[13]第３表!$C$10:$C$66,0),8),[13]設定!$I31))</f>
        <v>5.0999999999999996</v>
      </c>
      <c r="M55" s="56">
        <f>IF($D55="","",IF([13]設定!$I31="",INDEX([13]第３表!$F$10:$Q$66,MATCH([13]設定!$D31,[13]第３表!$C$10:$C$66,0),9),[13]設定!$I31))</f>
        <v>18.7</v>
      </c>
      <c r="N55" s="56">
        <f>IF($D55="","",IF([13]設定!$I31="",INDEX([13]第３表!$F$10:$Q$66,MATCH([13]設定!$D31,[13]第３表!$C$10:$C$66,0),10),[13]設定!$I31))</f>
        <v>132.19999999999999</v>
      </c>
      <c r="O55" s="56">
        <f>IF($D55="","",IF([13]設定!$I31="",INDEX([13]第３表!$F$10:$Q$66,MATCH([13]設定!$D31,[13]第３表!$C$10:$C$66,0),11),[13]設定!$I31))</f>
        <v>131.4</v>
      </c>
      <c r="P55" s="57">
        <f>IF($D55="","",IF([13]設定!$I31="",INDEX([13]第３表!$F$10:$Q$66,MATCH([13]設定!$D31,[13]第３表!$C$10:$C$66,0),12),[13]設定!$I31))</f>
        <v>0.8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IF($D56="","",IF([13]設定!$I32="",INDEX([13]第３表!$F$10:$Q$66,MATCH([13]設定!$D32,[13]第３表!$C$10:$C$66,0),1),[13]設定!$I32))</f>
        <v>18.899999999999999</v>
      </c>
      <c r="F56" s="52">
        <f>IF($D56="","",IF([13]設定!$I32="",INDEX([13]第３表!$F$10:$Q$66,MATCH([13]設定!$D32,[13]第３表!$C$10:$C$66,0),2),[13]設定!$I32))</f>
        <v>159.5</v>
      </c>
      <c r="G56" s="52">
        <f>IF($D56="","",IF([13]設定!$I32="",INDEX([13]第３表!$F$10:$Q$66,MATCH([13]設定!$D32,[13]第３表!$C$10:$C$66,0),3),[13]設定!$I32))</f>
        <v>145.9</v>
      </c>
      <c r="H56" s="53">
        <f>IF($D56="","",IF([13]設定!$I32="",INDEX([13]第３表!$F$10:$Q$66,MATCH([13]設定!$D32,[13]第３表!$C$10:$C$66,0),4),[13]設定!$I32))</f>
        <v>13.6</v>
      </c>
      <c r="I56" s="54">
        <f>IF($D56="","",IF([13]設定!$I32="",INDEX([13]第３表!$F$10:$Q$66,MATCH([13]設定!$D32,[13]第３表!$C$10:$C$66,0),5),[13]設定!$I32))</f>
        <v>18.899999999999999</v>
      </c>
      <c r="J56" s="54">
        <f>IF($D56="","",IF([13]設定!$I32="",INDEX([13]第３表!$F$10:$Q$66,MATCH([13]設定!$D32,[13]第３表!$C$10:$C$66,0),6),[13]設定!$I32))</f>
        <v>160.6</v>
      </c>
      <c r="K56" s="54">
        <f>IF($D56="","",IF([13]設定!$I32="",INDEX([13]第３表!$F$10:$Q$66,MATCH([13]設定!$D32,[13]第３表!$C$10:$C$66,0),7),[13]設定!$I32))</f>
        <v>146.19999999999999</v>
      </c>
      <c r="L56" s="55">
        <f>IF($D56="","",IF([13]設定!$I32="",INDEX([13]第３表!$F$10:$Q$66,MATCH([13]設定!$D32,[13]第３表!$C$10:$C$66,0),8),[13]設定!$I32))</f>
        <v>14.4</v>
      </c>
      <c r="M56" s="56">
        <f>IF($D56="","",IF([13]設定!$I32="",INDEX([13]第３表!$F$10:$Q$66,MATCH([13]設定!$D32,[13]第３表!$C$10:$C$66,0),9),[13]設定!$I32))</f>
        <v>19.100000000000001</v>
      </c>
      <c r="N56" s="56">
        <f>IF($D56="","",IF([13]設定!$I32="",INDEX([13]第３表!$F$10:$Q$66,MATCH([13]設定!$D32,[13]第３表!$C$10:$C$66,0),10),[13]設定!$I32))</f>
        <v>154.69999999999999</v>
      </c>
      <c r="O56" s="56">
        <f>IF($D56="","",IF([13]設定!$I32="",INDEX([13]第３表!$F$10:$Q$66,MATCH([13]設定!$D32,[13]第３表!$C$10:$C$66,0),11),[13]設定!$I32))</f>
        <v>144.5</v>
      </c>
      <c r="P56" s="57">
        <f>IF($D56="","",IF([13]設定!$I32="",INDEX([13]第３表!$F$10:$Q$66,MATCH([13]設定!$D32,[13]第３表!$C$10:$C$66,0),12),[13]設定!$I32))</f>
        <v>10.199999999999999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IF($D57="","",IF([13]設定!$I33="",INDEX([13]第３表!$F$10:$Q$66,MATCH([13]設定!$D33,[13]第３表!$C$10:$C$66,0),1),[13]設定!$I33))</f>
        <v>15</v>
      </c>
      <c r="F57" s="52">
        <f>IF($D57="","",IF([13]設定!$I33="",INDEX([13]第３表!$F$10:$Q$66,MATCH([13]設定!$D33,[13]第３表!$C$10:$C$66,0),2),[13]設定!$I33))</f>
        <v>99.9</v>
      </c>
      <c r="G57" s="52">
        <f>IF($D57="","",IF([13]設定!$I33="",INDEX([13]第３表!$F$10:$Q$66,MATCH([13]設定!$D33,[13]第３表!$C$10:$C$66,0),3),[13]設定!$I33))</f>
        <v>93.8</v>
      </c>
      <c r="H57" s="53">
        <f>IF($D57="","",IF([13]設定!$I33="",INDEX([13]第３表!$F$10:$Q$66,MATCH([13]設定!$D33,[13]第３表!$C$10:$C$66,0),4),[13]設定!$I33))</f>
        <v>6.1</v>
      </c>
      <c r="I57" s="54">
        <f>IF($D57="","",IF([13]設定!$I33="",INDEX([13]第３表!$F$10:$Q$66,MATCH([13]設定!$D33,[13]第３表!$C$10:$C$66,0),5),[13]設定!$I33))</f>
        <v>15.8</v>
      </c>
      <c r="J57" s="54">
        <f>IF($D57="","",IF([13]設定!$I33="",INDEX([13]第３表!$F$10:$Q$66,MATCH([13]設定!$D33,[13]第３表!$C$10:$C$66,0),6),[13]設定!$I33))</f>
        <v>115.4</v>
      </c>
      <c r="K57" s="54">
        <f>IF($D57="","",IF([13]設定!$I33="",INDEX([13]第３表!$F$10:$Q$66,MATCH([13]設定!$D33,[13]第３表!$C$10:$C$66,0),7),[13]設定!$I33))</f>
        <v>106</v>
      </c>
      <c r="L57" s="55">
        <f>IF($D57="","",IF([13]設定!$I33="",INDEX([13]第３表!$F$10:$Q$66,MATCH([13]設定!$D33,[13]第３表!$C$10:$C$66,0),8),[13]設定!$I33))</f>
        <v>9.4</v>
      </c>
      <c r="M57" s="56">
        <f>IF($D57="","",IF([13]設定!$I33="",INDEX([13]第３表!$F$10:$Q$66,MATCH([13]設定!$D33,[13]第３表!$C$10:$C$66,0),9),[13]設定!$I33))</f>
        <v>14.5</v>
      </c>
      <c r="N57" s="56">
        <f>IF($D57="","",IF([13]設定!$I33="",INDEX([13]第３表!$F$10:$Q$66,MATCH([13]設定!$D33,[13]第３表!$C$10:$C$66,0),10),[13]設定!$I33))</f>
        <v>90.3</v>
      </c>
      <c r="O57" s="56">
        <f>IF($D57="","",IF([13]設定!$I33="",INDEX([13]第３表!$F$10:$Q$66,MATCH([13]設定!$D33,[13]第３表!$C$10:$C$66,0),11),[13]設定!$I33))</f>
        <v>86.2</v>
      </c>
      <c r="P57" s="57">
        <f>IF($D57="","",IF([13]設定!$I33="",INDEX([13]第３表!$F$10:$Q$66,MATCH([13]設定!$D33,[13]第３表!$C$10:$C$66,0),12),[13]設定!$I33))</f>
        <v>4.0999999999999996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f>IF($D58="","",IF([13]設定!$I34="",INDEX([13]第３表!$F$10:$Q$66,MATCH([13]設定!$D34,[13]第３表!$C$10:$C$66,0),1),[13]設定!$I34))</f>
        <v>15.7</v>
      </c>
      <c r="F58" s="52">
        <f>IF($D58="","",IF([13]設定!$I34="",INDEX([13]第３表!$F$10:$Q$66,MATCH([13]設定!$D34,[13]第３表!$C$10:$C$66,0),2),[13]設定!$I34))</f>
        <v>137.69999999999999</v>
      </c>
      <c r="G58" s="52">
        <f>IF($D58="","",IF([13]設定!$I34="",INDEX([13]第３表!$F$10:$Q$66,MATCH([13]設定!$D34,[13]第３表!$C$10:$C$66,0),3),[13]設定!$I34))</f>
        <v>128.9</v>
      </c>
      <c r="H58" s="53">
        <f>IF($D58="","",IF([13]設定!$I34="",INDEX([13]第３表!$F$10:$Q$66,MATCH([13]設定!$D34,[13]第３表!$C$10:$C$66,0),4),[13]設定!$I34))</f>
        <v>8.8000000000000007</v>
      </c>
      <c r="I58" s="54">
        <f>IF($D58="","",IF([13]設定!$I34="",INDEX([13]第３表!$F$10:$Q$66,MATCH([13]設定!$D34,[13]第３表!$C$10:$C$66,0),5),[13]設定!$I34))</f>
        <v>15.7</v>
      </c>
      <c r="J58" s="54">
        <f>IF($D58="","",IF([13]設定!$I34="",INDEX([13]第３表!$F$10:$Q$66,MATCH([13]設定!$D34,[13]第３表!$C$10:$C$66,0),6),[13]設定!$I34))</f>
        <v>142.1</v>
      </c>
      <c r="K58" s="54">
        <f>IF($D58="","",IF([13]設定!$I34="",INDEX([13]第３表!$F$10:$Q$66,MATCH([13]設定!$D34,[13]第３表!$C$10:$C$66,0),7),[13]設定!$I34))</f>
        <v>131.4</v>
      </c>
      <c r="L58" s="55">
        <f>IF($D58="","",IF([13]設定!$I34="",INDEX([13]第３表!$F$10:$Q$66,MATCH([13]設定!$D34,[13]第３表!$C$10:$C$66,0),8),[13]設定!$I34))</f>
        <v>10.7</v>
      </c>
      <c r="M58" s="56">
        <f>IF($D58="","",IF([13]設定!$I34="",INDEX([13]第３表!$F$10:$Q$66,MATCH([13]設定!$D34,[13]第３表!$C$10:$C$66,0),9),[13]設定!$I34))</f>
        <v>15.8</v>
      </c>
      <c r="N58" s="56">
        <f>IF($D58="","",IF([13]設定!$I34="",INDEX([13]第３表!$F$10:$Q$66,MATCH([13]設定!$D34,[13]第３表!$C$10:$C$66,0),10),[13]設定!$I34))</f>
        <v>130.69999999999999</v>
      </c>
      <c r="O58" s="56">
        <f>IF($D58="","",IF([13]設定!$I34="",INDEX([13]第３表!$F$10:$Q$66,MATCH([13]設定!$D34,[13]第３表!$C$10:$C$66,0),11),[13]設定!$I34))</f>
        <v>124.9</v>
      </c>
      <c r="P58" s="57">
        <f>IF($D58="","",IF([13]設定!$I34="",INDEX([13]第３表!$F$10:$Q$66,MATCH([13]設定!$D34,[13]第３表!$C$10:$C$66,0),12),[13]設定!$I34))</f>
        <v>5.8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IF($D59="","",IF([13]設定!$I35="",INDEX([13]第３表!$F$10:$Q$66,MATCH([13]設定!$D35,[13]第３表!$C$10:$C$66,0),1),[13]設定!$I35))</f>
        <v>17.399999999999999</v>
      </c>
      <c r="F59" s="52">
        <f>IF($D59="","",IF([13]設定!$I35="",INDEX([13]第３表!$F$10:$Q$66,MATCH([13]設定!$D35,[13]第３表!$C$10:$C$66,0),2),[13]設定!$I35))</f>
        <v>154.80000000000001</v>
      </c>
      <c r="G59" s="52">
        <f>IF($D59="","",IF([13]設定!$I35="",INDEX([13]第３表!$F$10:$Q$66,MATCH([13]設定!$D35,[13]第３表!$C$10:$C$66,0),3),[13]設定!$I35))</f>
        <v>127.4</v>
      </c>
      <c r="H59" s="53">
        <f>IF($D59="","",IF([13]設定!$I35="",INDEX([13]第３表!$F$10:$Q$66,MATCH([13]設定!$D35,[13]第３表!$C$10:$C$66,0),4),[13]設定!$I35))</f>
        <v>27.4</v>
      </c>
      <c r="I59" s="54">
        <f>IF($D59="","",IF([13]設定!$I35="",INDEX([13]第３表!$F$10:$Q$66,MATCH([13]設定!$D35,[13]第３表!$C$10:$C$66,0),5),[13]設定!$I35))</f>
        <v>18.2</v>
      </c>
      <c r="J59" s="54">
        <f>IF($D59="","",IF([13]設定!$I35="",INDEX([13]第３表!$F$10:$Q$66,MATCH([13]設定!$D35,[13]第３表!$C$10:$C$66,0),6),[13]設定!$I35))</f>
        <v>169.4</v>
      </c>
      <c r="K59" s="54">
        <f>IF($D59="","",IF([13]設定!$I35="",INDEX([13]第３表!$F$10:$Q$66,MATCH([13]設定!$D35,[13]第３表!$C$10:$C$66,0),7),[13]設定!$I35))</f>
        <v>135</v>
      </c>
      <c r="L59" s="55">
        <f>IF($D59="","",IF([13]設定!$I35="",INDEX([13]第３表!$F$10:$Q$66,MATCH([13]設定!$D35,[13]第３表!$C$10:$C$66,0),8),[13]設定!$I35))</f>
        <v>34.4</v>
      </c>
      <c r="M59" s="56">
        <f>IF($D59="","",IF([13]設定!$I35="",INDEX([13]第３表!$F$10:$Q$66,MATCH([13]設定!$D35,[13]第３表!$C$10:$C$66,0),9),[13]設定!$I35))</f>
        <v>16.7</v>
      </c>
      <c r="N59" s="56">
        <f>IF($D59="","",IF([13]設定!$I35="",INDEX([13]第３表!$F$10:$Q$66,MATCH([13]設定!$D35,[13]第３表!$C$10:$C$66,0),10),[13]設定!$I35))</f>
        <v>141.19999999999999</v>
      </c>
      <c r="O59" s="56">
        <f>IF($D59="","",IF([13]設定!$I35="",INDEX([13]第３表!$F$10:$Q$66,MATCH([13]設定!$D35,[13]第３表!$C$10:$C$66,0),11),[13]設定!$I35))</f>
        <v>120.3</v>
      </c>
      <c r="P59" s="57">
        <f>IF($D59="","",IF([13]設定!$I35="",INDEX([13]第３表!$F$10:$Q$66,MATCH([13]設定!$D35,[13]第３表!$C$10:$C$66,0),12),[13]設定!$I35))</f>
        <v>20.9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IF($D60="","",IF([13]設定!$I36="",INDEX([13]第３表!$F$10:$Q$66,MATCH([13]設定!$D36,[13]第３表!$C$10:$C$66,0),1),[13]設定!$I36))</f>
        <v>18.899999999999999</v>
      </c>
      <c r="F60" s="52">
        <f>IF($D60="","",IF([13]設定!$I36="",INDEX([13]第３表!$F$10:$Q$66,MATCH([13]設定!$D36,[13]第３表!$C$10:$C$66,0),2),[13]設定!$I36))</f>
        <v>140.9</v>
      </c>
      <c r="G60" s="52">
        <f>IF($D60="","",IF([13]設定!$I36="",INDEX([13]第３表!$F$10:$Q$66,MATCH([13]設定!$D36,[13]第３表!$C$10:$C$66,0),3),[13]設定!$I36))</f>
        <v>136.5</v>
      </c>
      <c r="H60" s="53">
        <f>IF($D60="","",IF([13]設定!$I36="",INDEX([13]第３表!$F$10:$Q$66,MATCH([13]設定!$D36,[13]第３表!$C$10:$C$66,0),4),[13]設定!$I36))</f>
        <v>4.4000000000000004</v>
      </c>
      <c r="I60" s="54">
        <f>IF($D60="","",IF([13]設定!$I36="",INDEX([13]第３表!$F$10:$Q$66,MATCH([13]設定!$D36,[13]第３表!$C$10:$C$66,0),5),[13]設定!$I36))</f>
        <v>19.3</v>
      </c>
      <c r="J60" s="54">
        <f>IF($D60="","",IF([13]設定!$I36="",INDEX([13]第３表!$F$10:$Q$66,MATCH([13]設定!$D36,[13]第３表!$C$10:$C$66,0),6),[13]設定!$I36))</f>
        <v>150.69999999999999</v>
      </c>
      <c r="K60" s="54">
        <f>IF($D60="","",IF([13]設定!$I36="",INDEX([13]第３表!$F$10:$Q$66,MATCH([13]設定!$D36,[13]第３表!$C$10:$C$66,0),7),[13]設定!$I36))</f>
        <v>144.9</v>
      </c>
      <c r="L60" s="55">
        <f>IF($D60="","",IF([13]設定!$I36="",INDEX([13]第３表!$F$10:$Q$66,MATCH([13]設定!$D36,[13]第３表!$C$10:$C$66,0),8),[13]設定!$I36))</f>
        <v>5.8</v>
      </c>
      <c r="M60" s="56">
        <f>IF($D60="","",IF([13]設定!$I36="",INDEX([13]第３表!$F$10:$Q$66,MATCH([13]設定!$D36,[13]第３表!$C$10:$C$66,0),9),[13]設定!$I36))</f>
        <v>18.8</v>
      </c>
      <c r="N60" s="56">
        <f>IF($D60="","",IF([13]設定!$I36="",INDEX([13]第３表!$F$10:$Q$66,MATCH([13]設定!$D36,[13]第３表!$C$10:$C$66,0),10),[13]設定!$I36))</f>
        <v>137.6</v>
      </c>
      <c r="O60" s="56">
        <f>IF($D60="","",IF([13]設定!$I36="",INDEX([13]第３表!$F$10:$Q$66,MATCH([13]設定!$D36,[13]第３表!$C$10:$C$66,0),11),[13]設定!$I36))</f>
        <v>133.69999999999999</v>
      </c>
      <c r="P60" s="57">
        <f>IF($D60="","",IF([13]設定!$I36="",INDEX([13]第３表!$F$10:$Q$66,MATCH([13]設定!$D36,[13]第３表!$C$10:$C$66,0),12),[13]設定!$I36))</f>
        <v>3.9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IF($D61="","",IF([13]設定!$I37="",INDEX([13]第３表!$F$10:$Q$66,MATCH([13]設定!$D37,[13]第３表!$C$10:$C$66,0),1),[13]設定!$I37))</f>
        <v>19.7</v>
      </c>
      <c r="F61" s="52">
        <f>IF($D61="","",IF([13]設定!$I37="",INDEX([13]第３表!$F$10:$Q$66,MATCH([13]設定!$D37,[13]第３表!$C$10:$C$66,0),2),[13]設定!$I37))</f>
        <v>157.30000000000001</v>
      </c>
      <c r="G61" s="52">
        <f>IF($D61="","",IF([13]設定!$I37="",INDEX([13]第３表!$F$10:$Q$66,MATCH([13]設定!$D37,[13]第３表!$C$10:$C$66,0),3),[13]設定!$I37))</f>
        <v>152.19999999999999</v>
      </c>
      <c r="H61" s="53">
        <f>IF($D61="","",IF([13]設定!$I37="",INDEX([13]第３表!$F$10:$Q$66,MATCH([13]設定!$D37,[13]第３表!$C$10:$C$66,0),4),[13]設定!$I37))</f>
        <v>5.0999999999999996</v>
      </c>
      <c r="I61" s="54">
        <f>IF($D61="","",IF([13]設定!$I37="",INDEX([13]第３表!$F$10:$Q$66,MATCH([13]設定!$D37,[13]第３表!$C$10:$C$66,0),5),[13]設定!$I37))</f>
        <v>20</v>
      </c>
      <c r="J61" s="54">
        <f>IF($D61="","",IF([13]設定!$I37="",INDEX([13]第３表!$F$10:$Q$66,MATCH([13]設定!$D37,[13]第３表!$C$10:$C$66,0),6),[13]設定!$I37))</f>
        <v>162.80000000000001</v>
      </c>
      <c r="K61" s="54">
        <f>IF($D61="","",IF([13]設定!$I37="",INDEX([13]第３表!$F$10:$Q$66,MATCH([13]設定!$D37,[13]第３表!$C$10:$C$66,0),7),[13]設定!$I37))</f>
        <v>157.4</v>
      </c>
      <c r="L61" s="55">
        <f>IF($D61="","",IF([13]設定!$I37="",INDEX([13]第３表!$F$10:$Q$66,MATCH([13]設定!$D37,[13]第３表!$C$10:$C$66,0),8),[13]設定!$I37))</f>
        <v>5.4</v>
      </c>
      <c r="M61" s="56">
        <f>IF($D61="","",IF([13]設定!$I37="",INDEX([13]第３表!$F$10:$Q$66,MATCH([13]設定!$D37,[13]第３表!$C$10:$C$66,0),9),[13]設定!$I37))</f>
        <v>19.3</v>
      </c>
      <c r="N61" s="56">
        <f>IF($D61="","",IF([13]設定!$I37="",INDEX([13]第３表!$F$10:$Q$66,MATCH([13]設定!$D37,[13]第３表!$C$10:$C$66,0),10),[13]設定!$I37))</f>
        <v>148.30000000000001</v>
      </c>
      <c r="O61" s="56">
        <f>IF($D61="","",IF([13]設定!$I37="",INDEX([13]第３表!$F$10:$Q$66,MATCH([13]設定!$D37,[13]第３表!$C$10:$C$66,0),11),[13]設定!$I37))</f>
        <v>143.80000000000001</v>
      </c>
      <c r="P61" s="57">
        <f>IF($D61="","",IF([13]設定!$I37="",INDEX([13]第３表!$F$10:$Q$66,MATCH([13]設定!$D37,[13]第３表!$C$10:$C$66,0),12),[13]設定!$I37))</f>
        <v>4.5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IF($D62="","",IF([13]設定!$I38="",INDEX([13]第３表!$F$10:$Q$66,MATCH([13]設定!$D38,[13]第３表!$C$10:$C$66,0),1),[13]設定!$I38))</f>
        <v>18.5</v>
      </c>
      <c r="F62" s="52">
        <f>IF($D62="","",IF([13]設定!$I38="",INDEX([13]第３表!$F$10:$Q$66,MATCH([13]設定!$D38,[13]第３表!$C$10:$C$66,0),2),[13]設定!$I38))</f>
        <v>139.19999999999999</v>
      </c>
      <c r="G62" s="52">
        <f>IF($D62="","",IF([13]設定!$I38="",INDEX([13]第３表!$F$10:$Q$66,MATCH([13]設定!$D38,[13]第３表!$C$10:$C$66,0),3),[13]設定!$I38))</f>
        <v>130.4</v>
      </c>
      <c r="H62" s="53">
        <f>IF($D62="","",IF([13]設定!$I38="",INDEX([13]第３表!$F$10:$Q$66,MATCH([13]設定!$D38,[13]第３表!$C$10:$C$66,0),4),[13]設定!$I38))</f>
        <v>8.8000000000000007</v>
      </c>
      <c r="I62" s="54">
        <f>IF($D62="","",IF([13]設定!$I38="",INDEX([13]第３表!$F$10:$Q$66,MATCH([13]設定!$D38,[13]第３表!$C$10:$C$66,0),5),[13]設定!$I38))</f>
        <v>18.7</v>
      </c>
      <c r="J62" s="54">
        <f>IF($D62="","",IF([13]設定!$I38="",INDEX([13]第３表!$F$10:$Q$66,MATCH([13]設定!$D38,[13]第３表!$C$10:$C$66,0),6),[13]設定!$I38))</f>
        <v>154.1</v>
      </c>
      <c r="K62" s="54">
        <f>IF($D62="","",IF([13]設定!$I38="",INDEX([13]第３表!$F$10:$Q$66,MATCH([13]設定!$D38,[13]第３表!$C$10:$C$66,0),7),[13]設定!$I38))</f>
        <v>141.5</v>
      </c>
      <c r="L62" s="55">
        <f>IF($D62="","",IF([13]設定!$I38="",INDEX([13]第３表!$F$10:$Q$66,MATCH([13]設定!$D38,[13]第３表!$C$10:$C$66,0),8),[13]設定!$I38))</f>
        <v>12.6</v>
      </c>
      <c r="M62" s="56">
        <f>IF($D62="","",IF([13]設定!$I38="",INDEX([13]第３表!$F$10:$Q$66,MATCH([13]設定!$D38,[13]第３表!$C$10:$C$66,0),9),[13]設定!$I38))</f>
        <v>18.2</v>
      </c>
      <c r="N62" s="56">
        <f>IF($D62="","",IF([13]設定!$I38="",INDEX([13]第３表!$F$10:$Q$66,MATCH([13]設定!$D38,[13]第３表!$C$10:$C$66,0),10),[13]設定!$I38))</f>
        <v>122.8</v>
      </c>
      <c r="O62" s="56">
        <f>IF($D62="","",IF([13]設定!$I38="",INDEX([13]第３表!$F$10:$Q$66,MATCH([13]設定!$D38,[13]第３表!$C$10:$C$66,0),11),[13]設定!$I38))</f>
        <v>118.2</v>
      </c>
      <c r="P62" s="57">
        <f>IF($D62="","",IF([13]設定!$I38="",INDEX([13]第３表!$F$10:$Q$66,MATCH([13]設定!$D38,[13]第３表!$C$10:$C$66,0),12),[13]設定!$I38))</f>
        <v>4.5999999999999996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IF($D63="","",IF([13]設定!$I39="",INDEX([13]第３表!$F$10:$Q$66,MATCH([13]設定!$D39,[13]第３表!$C$10:$C$66,0),1),[13]設定!$I39))</f>
        <v>19.5</v>
      </c>
      <c r="F63" s="48">
        <f>IF($D63="","",IF([13]設定!$I39="",INDEX([13]第３表!$F$10:$Q$66,MATCH([13]設定!$D39,[13]第３表!$C$10:$C$66,0),2),[13]設定!$I39))</f>
        <v>154.4</v>
      </c>
      <c r="G63" s="48">
        <f>IF($D63="","",IF([13]設定!$I39="",INDEX([13]第３表!$F$10:$Q$66,MATCH([13]設定!$D39,[13]第３表!$C$10:$C$66,0),3),[13]設定!$I39))</f>
        <v>142.19999999999999</v>
      </c>
      <c r="H63" s="64">
        <f>IF($D63="","",IF([13]設定!$I39="",INDEX([13]第３表!$F$10:$Q$66,MATCH([13]設定!$D39,[13]第３表!$C$10:$C$66,0),4),[13]設定!$I39))</f>
        <v>12.2</v>
      </c>
      <c r="I63" s="48">
        <f>IF($D63="","",IF([13]設定!$I39="",INDEX([13]第３表!$F$10:$Q$66,MATCH([13]設定!$D39,[13]第３表!$C$10:$C$66,0),5),[13]設定!$I39))</f>
        <v>19.899999999999999</v>
      </c>
      <c r="J63" s="48">
        <f>IF($D63="","",IF([13]設定!$I39="",INDEX([13]第３表!$F$10:$Q$66,MATCH([13]設定!$D39,[13]第３表!$C$10:$C$66,0),6),[13]設定!$I39))</f>
        <v>166.1</v>
      </c>
      <c r="K63" s="48">
        <f>IF($D63="","",IF([13]設定!$I39="",INDEX([13]第３表!$F$10:$Q$66,MATCH([13]設定!$D39,[13]第３表!$C$10:$C$66,0),7),[13]設定!$I39))</f>
        <v>150.4</v>
      </c>
      <c r="L63" s="64">
        <f>IF($D63="","",IF([13]設定!$I39="",INDEX([13]第３表!$F$10:$Q$66,MATCH([13]設定!$D39,[13]第３表!$C$10:$C$66,0),8),[13]設定!$I39))</f>
        <v>15.7</v>
      </c>
      <c r="M63" s="48">
        <f>IF($D63="","",IF([13]設定!$I39="",INDEX([13]第３表!$F$10:$Q$66,MATCH([13]設定!$D39,[13]第３表!$C$10:$C$66,0),9),[13]設定!$I39))</f>
        <v>19.2</v>
      </c>
      <c r="N63" s="48">
        <f>IF($D63="","",IF([13]設定!$I39="",INDEX([13]第３表!$F$10:$Q$66,MATCH([13]設定!$D39,[13]第３表!$C$10:$C$66,0),10),[13]設定!$I39))</f>
        <v>146</v>
      </c>
      <c r="O63" s="48">
        <f>IF($D63="","",IF([13]設定!$I39="",INDEX([13]第３表!$F$10:$Q$66,MATCH([13]設定!$D39,[13]第３表!$C$10:$C$66,0),11),[13]設定!$I39))</f>
        <v>136.30000000000001</v>
      </c>
      <c r="P63" s="64">
        <f>IF($D63="","",IF([13]設定!$I39="",INDEX([13]第３表!$F$10:$Q$66,MATCH([13]設定!$D39,[13]第３表!$C$10:$C$66,0),12),[13]設定!$I39))</f>
        <v>9.6999999999999993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IF($D64="","",IF([13]設定!$I40="",INDEX([13]第３表!$F$10:$Q$66,MATCH([13]設定!$D40,[13]第３表!$C$10:$C$66,0),1),[13]設定!$I40))</f>
        <v>19.7</v>
      </c>
      <c r="F64" s="52">
        <f>IF($D64="","",IF([13]設定!$I40="",INDEX([13]第３表!$F$10:$Q$66,MATCH([13]設定!$D40,[13]第３表!$C$10:$C$66,0),2),[13]設定!$I40))</f>
        <v>160.80000000000001</v>
      </c>
      <c r="G64" s="52">
        <f>IF($D64="","",IF([13]設定!$I40="",INDEX([13]第３表!$F$10:$Q$66,MATCH([13]設定!$D40,[13]第３表!$C$10:$C$66,0),3),[13]設定!$I40))</f>
        <v>148.19999999999999</v>
      </c>
      <c r="H64" s="55">
        <f>IF($D64="","",IF([13]設定!$I40="",INDEX([13]第３表!$F$10:$Q$66,MATCH([13]設定!$D40,[13]第３表!$C$10:$C$66,0),4),[13]設定!$I40))</f>
        <v>12.6</v>
      </c>
      <c r="I64" s="52">
        <f>IF($D64="","",IF([13]設定!$I40="",INDEX([13]第３表!$F$10:$Q$66,MATCH([13]設定!$D40,[13]第３表!$C$10:$C$66,0),5),[13]設定!$I40))</f>
        <v>20</v>
      </c>
      <c r="J64" s="52">
        <f>IF($D64="","",IF([13]設定!$I40="",INDEX([13]第３表!$F$10:$Q$66,MATCH([13]設定!$D40,[13]第３表!$C$10:$C$66,0),6),[13]設定!$I40))</f>
        <v>163.19999999999999</v>
      </c>
      <c r="K64" s="52">
        <f>IF($D64="","",IF([13]設定!$I40="",INDEX([13]第３表!$F$10:$Q$66,MATCH([13]設定!$D40,[13]第３表!$C$10:$C$66,0),7),[13]設定!$I40))</f>
        <v>148.4</v>
      </c>
      <c r="L64" s="55">
        <f>IF($D64="","",IF([13]設定!$I40="",INDEX([13]第３表!$F$10:$Q$66,MATCH([13]設定!$D40,[13]第３表!$C$10:$C$66,0),8),[13]設定!$I40))</f>
        <v>14.8</v>
      </c>
      <c r="M64" s="52">
        <f>IF($D64="","",IF([13]設定!$I40="",INDEX([13]第３表!$F$10:$Q$66,MATCH([13]設定!$D40,[13]第３表!$C$10:$C$66,0),9),[13]設定!$I40))</f>
        <v>19.399999999999999</v>
      </c>
      <c r="N64" s="52">
        <f>IF($D64="","",IF([13]設定!$I40="",INDEX([13]第３表!$F$10:$Q$66,MATCH([13]設定!$D40,[13]第３表!$C$10:$C$66,0),10),[13]設定!$I40))</f>
        <v>158.9</v>
      </c>
      <c r="O64" s="52">
        <f>IF($D64="","",IF([13]設定!$I40="",INDEX([13]第３表!$F$10:$Q$66,MATCH([13]設定!$D40,[13]第３表!$C$10:$C$66,0),11),[13]設定!$I40))</f>
        <v>148</v>
      </c>
      <c r="P64" s="55">
        <f>IF($D64="","",IF([13]設定!$I40="",INDEX([13]第３表!$F$10:$Q$66,MATCH([13]設定!$D40,[13]第３表!$C$10:$C$66,0),12),[13]設定!$I40))</f>
        <v>10.9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IF($D65="","",IF([13]設定!$I41="",INDEX([13]第３表!$F$10:$Q$66,MATCH([13]設定!$D41,[13]第３表!$C$10:$C$66,0),1),[13]設定!$I41))</f>
        <v>19.5</v>
      </c>
      <c r="F65" s="52">
        <f>IF($D65="","",IF([13]設定!$I41="",INDEX([13]第３表!$F$10:$Q$66,MATCH([13]設定!$D41,[13]第３表!$C$10:$C$66,0),2),[13]設定!$I41))</f>
        <v>156.69999999999999</v>
      </c>
      <c r="G65" s="52">
        <f>IF($D65="","",IF([13]設定!$I41="",INDEX([13]第３表!$F$10:$Q$66,MATCH([13]設定!$D41,[13]第３表!$C$10:$C$66,0),3),[13]設定!$I41))</f>
        <v>147.4</v>
      </c>
      <c r="H65" s="55">
        <f>IF($D65="","",IF([13]設定!$I41="",INDEX([13]第３表!$F$10:$Q$66,MATCH([13]設定!$D41,[13]第３表!$C$10:$C$66,0),4),[13]設定!$I41))</f>
        <v>9.3000000000000007</v>
      </c>
      <c r="I65" s="52">
        <f>IF($D65="","",IF([13]設定!$I41="",INDEX([13]第３表!$F$10:$Q$66,MATCH([13]設定!$D41,[13]第３表!$C$10:$C$66,0),5),[13]設定!$I41))</f>
        <v>19.2</v>
      </c>
      <c r="J65" s="52">
        <f>IF($D65="","",IF([13]設定!$I41="",INDEX([13]第３表!$F$10:$Q$66,MATCH([13]設定!$D41,[13]第３表!$C$10:$C$66,0),6),[13]設定!$I41))</f>
        <v>160.6</v>
      </c>
      <c r="K65" s="52">
        <f>IF($D65="","",IF([13]設定!$I41="",INDEX([13]第３表!$F$10:$Q$66,MATCH([13]設定!$D41,[13]第３表!$C$10:$C$66,0),7),[13]設定!$I41))</f>
        <v>149.80000000000001</v>
      </c>
      <c r="L65" s="55">
        <f>IF($D65="","",IF([13]設定!$I41="",INDEX([13]第３表!$F$10:$Q$66,MATCH([13]設定!$D41,[13]第３表!$C$10:$C$66,0),8),[13]設定!$I41))</f>
        <v>10.8</v>
      </c>
      <c r="M65" s="52">
        <f>IF($D65="","",IF([13]設定!$I41="",INDEX([13]第３表!$F$10:$Q$66,MATCH([13]設定!$D41,[13]第３表!$C$10:$C$66,0),9),[13]設定!$I41))</f>
        <v>20.9</v>
      </c>
      <c r="N65" s="52">
        <f>IF($D65="","",IF([13]設定!$I41="",INDEX([13]第３表!$F$10:$Q$66,MATCH([13]設定!$D41,[13]第３表!$C$10:$C$66,0),10),[13]設定!$I41))</f>
        <v>139.5</v>
      </c>
      <c r="O65" s="52">
        <f>IF($D65="","",IF([13]設定!$I41="",INDEX([13]第３表!$F$10:$Q$66,MATCH([13]設定!$D41,[13]第３表!$C$10:$C$66,0),11),[13]設定!$I41))</f>
        <v>136.6</v>
      </c>
      <c r="P65" s="55">
        <f>IF($D65="","",IF([13]設定!$I41="",INDEX([13]第３表!$F$10:$Q$66,MATCH([13]設定!$D41,[13]第３表!$C$10:$C$66,0),12),[13]設定!$I41))</f>
        <v>2.9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IF($D66="","",IF([13]設定!$I42="",INDEX([13]第３表!$F$10:$Q$66,MATCH([13]設定!$D42,[13]第３表!$C$10:$C$66,0),1),[13]設定!$I42))</f>
        <v>x</v>
      </c>
      <c r="F66" s="52" t="str">
        <f>IF($D66="","",IF([13]設定!$I42="",INDEX([13]第３表!$F$10:$Q$66,MATCH([13]設定!$D42,[13]第３表!$C$10:$C$66,0),2),[13]設定!$I42))</f>
        <v>x</v>
      </c>
      <c r="G66" s="52" t="str">
        <f>IF($D66="","",IF([13]設定!$I42="",INDEX([13]第３表!$F$10:$Q$66,MATCH([13]設定!$D42,[13]第３表!$C$10:$C$66,0),3),[13]設定!$I42))</f>
        <v>x</v>
      </c>
      <c r="H66" s="55" t="str">
        <f>IF($D66="","",IF([13]設定!$I42="",INDEX([13]第３表!$F$10:$Q$66,MATCH([13]設定!$D42,[13]第３表!$C$10:$C$66,0),4),[13]設定!$I42))</f>
        <v>x</v>
      </c>
      <c r="I66" s="52" t="str">
        <f>IF($D66="","",IF([13]設定!$I42="",INDEX([13]第３表!$F$10:$Q$66,MATCH([13]設定!$D42,[13]第３表!$C$10:$C$66,0),5),[13]設定!$I42))</f>
        <v>x</v>
      </c>
      <c r="J66" s="52" t="str">
        <f>IF($D66="","",IF([13]設定!$I42="",INDEX([13]第３表!$F$10:$Q$66,MATCH([13]設定!$D42,[13]第３表!$C$10:$C$66,0),6),[13]設定!$I42))</f>
        <v>x</v>
      </c>
      <c r="K66" s="52" t="str">
        <f>IF($D66="","",IF([13]設定!$I42="",INDEX([13]第３表!$F$10:$Q$66,MATCH([13]設定!$D42,[13]第３表!$C$10:$C$66,0),7),[13]設定!$I42))</f>
        <v>x</v>
      </c>
      <c r="L66" s="55" t="str">
        <f>IF($D66="","",IF([13]設定!$I42="",INDEX([13]第３表!$F$10:$Q$66,MATCH([13]設定!$D42,[13]第３表!$C$10:$C$66,0),8),[13]設定!$I42))</f>
        <v>x</v>
      </c>
      <c r="M66" s="52" t="str">
        <f>IF($D66="","",IF([13]設定!$I42="",INDEX([13]第３表!$F$10:$Q$66,MATCH([13]設定!$D42,[13]第３表!$C$10:$C$66,0),9),[13]設定!$I42))</f>
        <v>x</v>
      </c>
      <c r="N66" s="52" t="str">
        <f>IF($D66="","",IF([13]設定!$I42="",INDEX([13]第３表!$F$10:$Q$66,MATCH([13]設定!$D42,[13]第３表!$C$10:$C$66,0),10),[13]設定!$I42))</f>
        <v>x</v>
      </c>
      <c r="O66" s="52" t="str">
        <f>IF($D66="","",IF([13]設定!$I42="",INDEX([13]第３表!$F$10:$Q$66,MATCH([13]設定!$D42,[13]第３表!$C$10:$C$66,0),11),[13]設定!$I42))</f>
        <v>x</v>
      </c>
      <c r="P66" s="55" t="str">
        <f>IF($D66="","",IF([13]設定!$I42="",INDEX([13]第３表!$F$10:$Q$66,MATCH([13]設定!$D42,[13]第３表!$C$10:$C$66,0),12),[13]設定!$I42))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>
        <f>IF($D67="","",IF([13]設定!$I43="",INDEX([13]第３表!$F$10:$Q$66,MATCH([13]設定!$D43,[13]第３表!$C$10:$C$66,0),1),[13]設定!$I43))</f>
        <v>17.899999999999999</v>
      </c>
      <c r="F67" s="52">
        <f>IF($D67="","",IF([13]設定!$I43="",INDEX([13]第３表!$F$10:$Q$66,MATCH([13]設定!$D43,[13]第３表!$C$10:$C$66,0),2),[13]設定!$I43))</f>
        <v>130.9</v>
      </c>
      <c r="G67" s="52">
        <f>IF($D67="","",IF([13]設定!$I43="",INDEX([13]第３表!$F$10:$Q$66,MATCH([13]設定!$D43,[13]第３表!$C$10:$C$66,0),3),[13]設定!$I43))</f>
        <v>122.3</v>
      </c>
      <c r="H67" s="55">
        <f>IF($D67="","",IF([13]設定!$I43="",INDEX([13]第３表!$F$10:$Q$66,MATCH([13]設定!$D43,[13]第３表!$C$10:$C$66,0),4),[13]設定!$I43))</f>
        <v>8.6</v>
      </c>
      <c r="I67" s="52">
        <f>IF($D67="","",IF([13]設定!$I43="",INDEX([13]第３表!$F$10:$Q$66,MATCH([13]設定!$D43,[13]第３表!$C$10:$C$66,0),5),[13]設定!$I43))</f>
        <v>18.5</v>
      </c>
      <c r="J67" s="52">
        <f>IF($D67="","",IF([13]設定!$I43="",INDEX([13]第３表!$F$10:$Q$66,MATCH([13]設定!$D43,[13]第３表!$C$10:$C$66,0),6),[13]設定!$I43))</f>
        <v>139.1</v>
      </c>
      <c r="K67" s="52">
        <f>IF($D67="","",IF([13]設定!$I43="",INDEX([13]第３表!$F$10:$Q$66,MATCH([13]設定!$D43,[13]第３表!$C$10:$C$66,0),7),[13]設定!$I43))</f>
        <v>128</v>
      </c>
      <c r="L67" s="55">
        <f>IF($D67="","",IF([13]設定!$I43="",INDEX([13]第３表!$F$10:$Q$66,MATCH([13]設定!$D43,[13]第３表!$C$10:$C$66,0),8),[13]設定!$I43))</f>
        <v>11.1</v>
      </c>
      <c r="M67" s="52">
        <f>IF($D67="","",IF([13]設定!$I43="",INDEX([13]第３表!$F$10:$Q$66,MATCH([13]設定!$D43,[13]第３表!$C$10:$C$66,0),9),[13]設定!$I43))</f>
        <v>16.399999999999999</v>
      </c>
      <c r="N67" s="52">
        <f>IF($D67="","",IF([13]設定!$I43="",INDEX([13]第３表!$F$10:$Q$66,MATCH([13]設定!$D43,[13]第３表!$C$10:$C$66,0),10),[13]設定!$I43))</f>
        <v>111.1</v>
      </c>
      <c r="O67" s="52">
        <f>IF($D67="","",IF([13]設定!$I43="",INDEX([13]第３表!$F$10:$Q$66,MATCH([13]設定!$D43,[13]第３表!$C$10:$C$66,0),11),[13]設定!$I43))</f>
        <v>108.5</v>
      </c>
      <c r="P67" s="55">
        <f>IF($D67="","",IF([13]設定!$I43="",INDEX([13]第３表!$F$10:$Q$66,MATCH([13]設定!$D43,[13]第３表!$C$10:$C$66,0),12),[13]設定!$I43))</f>
        <v>2.6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IF($D68="","",IF([13]設定!$I44="",INDEX([13]第３表!$F$10:$Q$66,MATCH([13]設定!$D44,[13]第３表!$C$10:$C$66,0),1),[13]設定!$I44))</f>
        <v>19.899999999999999</v>
      </c>
      <c r="F68" s="52">
        <f>IF($D68="","",IF([13]設定!$I44="",INDEX([13]第３表!$F$10:$Q$66,MATCH([13]設定!$D44,[13]第３表!$C$10:$C$66,0),2),[13]設定!$I44))</f>
        <v>163.69999999999999</v>
      </c>
      <c r="G68" s="52">
        <f>IF($D68="","",IF([13]設定!$I44="",INDEX([13]第３表!$F$10:$Q$66,MATCH([13]設定!$D44,[13]第３表!$C$10:$C$66,0),3),[13]設定!$I44))</f>
        <v>143.19999999999999</v>
      </c>
      <c r="H68" s="55">
        <f>IF($D68="","",IF([13]設定!$I44="",INDEX([13]第３表!$F$10:$Q$66,MATCH([13]設定!$D44,[13]第３表!$C$10:$C$66,0),4),[13]設定!$I44))</f>
        <v>20.5</v>
      </c>
      <c r="I68" s="52">
        <f>IF($D68="","",IF([13]設定!$I44="",INDEX([13]第３表!$F$10:$Q$66,MATCH([13]設定!$D44,[13]第３表!$C$10:$C$66,0),5),[13]設定!$I44))</f>
        <v>20</v>
      </c>
      <c r="J68" s="52">
        <f>IF($D68="","",IF([13]設定!$I44="",INDEX([13]第３表!$F$10:$Q$66,MATCH([13]設定!$D44,[13]第３表!$C$10:$C$66,0),6),[13]設定!$I44))</f>
        <v>164.6</v>
      </c>
      <c r="K68" s="52">
        <f>IF($D68="","",IF([13]設定!$I44="",INDEX([13]第３表!$F$10:$Q$66,MATCH([13]設定!$D44,[13]第３表!$C$10:$C$66,0),7),[13]設定!$I44))</f>
        <v>142.9</v>
      </c>
      <c r="L68" s="55">
        <f>IF($D68="","",IF([13]設定!$I44="",INDEX([13]第３表!$F$10:$Q$66,MATCH([13]設定!$D44,[13]第３表!$C$10:$C$66,0),8),[13]設定!$I44))</f>
        <v>21.7</v>
      </c>
      <c r="M68" s="52">
        <f>IF($D68="","",IF([13]設定!$I44="",INDEX([13]第３表!$F$10:$Q$66,MATCH([13]設定!$D44,[13]第３表!$C$10:$C$66,0),9),[13]設定!$I44))</f>
        <v>19.600000000000001</v>
      </c>
      <c r="N68" s="52">
        <f>IF($D68="","",IF([13]設定!$I44="",INDEX([13]第３表!$F$10:$Q$66,MATCH([13]設定!$D44,[13]第３表!$C$10:$C$66,0),10),[13]設定!$I44))</f>
        <v>152.19999999999999</v>
      </c>
      <c r="O68" s="52">
        <f>IF($D68="","",IF([13]設定!$I44="",INDEX([13]第３表!$F$10:$Q$66,MATCH([13]設定!$D44,[13]第３表!$C$10:$C$66,0),11),[13]設定!$I44))</f>
        <v>146.9</v>
      </c>
      <c r="P68" s="55">
        <f>IF($D68="","",IF([13]設定!$I44="",INDEX([13]第３表!$F$10:$Q$66,MATCH([13]設定!$D44,[13]第３表!$C$10:$C$66,0),12),[13]設定!$I44))</f>
        <v>5.3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IF($D69="","",IF([13]設定!$I45="",INDEX([13]第３表!$F$10:$Q$66,MATCH([13]設定!$D45,[13]第３表!$C$10:$C$66,0),1),[13]設定!$I45))</f>
        <v>19.899999999999999</v>
      </c>
      <c r="F69" s="52">
        <f>IF($D69="","",IF([13]設定!$I45="",INDEX([13]第３表!$F$10:$Q$66,MATCH([13]設定!$D45,[13]第３表!$C$10:$C$66,0),2),[13]設定!$I45))</f>
        <v>158.19999999999999</v>
      </c>
      <c r="G69" s="52">
        <f>IF($D69="","",IF([13]設定!$I45="",INDEX([13]第３表!$F$10:$Q$66,MATCH([13]設定!$D45,[13]第３表!$C$10:$C$66,0),3),[13]設定!$I45))</f>
        <v>147.4</v>
      </c>
      <c r="H69" s="55">
        <f>IF($D69="","",IF([13]設定!$I45="",INDEX([13]第３表!$F$10:$Q$66,MATCH([13]設定!$D45,[13]第３表!$C$10:$C$66,0),4),[13]設定!$I45))</f>
        <v>10.8</v>
      </c>
      <c r="I69" s="52">
        <f>IF($D69="","",IF([13]設定!$I45="",INDEX([13]第３表!$F$10:$Q$66,MATCH([13]設定!$D45,[13]第３表!$C$10:$C$66,0),5),[13]設定!$I45))</f>
        <v>20</v>
      </c>
      <c r="J69" s="52">
        <f>IF($D69="","",IF([13]設定!$I45="",INDEX([13]第３表!$F$10:$Q$66,MATCH([13]設定!$D45,[13]第３表!$C$10:$C$66,0),6),[13]設定!$I45))</f>
        <v>166.1</v>
      </c>
      <c r="K69" s="52">
        <f>IF($D69="","",IF([13]設定!$I45="",INDEX([13]第３表!$F$10:$Q$66,MATCH([13]設定!$D45,[13]第３表!$C$10:$C$66,0),7),[13]設定!$I45))</f>
        <v>152</v>
      </c>
      <c r="L69" s="55">
        <f>IF($D69="","",IF([13]設定!$I45="",INDEX([13]第３表!$F$10:$Q$66,MATCH([13]設定!$D45,[13]第３表!$C$10:$C$66,0),8),[13]設定!$I45))</f>
        <v>14.1</v>
      </c>
      <c r="M69" s="52">
        <f>IF($D69="","",IF([13]設定!$I45="",INDEX([13]第３表!$F$10:$Q$66,MATCH([13]設定!$D45,[13]第３表!$C$10:$C$66,0),9),[13]設定!$I45))</f>
        <v>19.7</v>
      </c>
      <c r="N69" s="52">
        <f>IF($D69="","",IF([13]設定!$I45="",INDEX([13]第３表!$F$10:$Q$66,MATCH([13]設定!$D45,[13]第３表!$C$10:$C$66,0),10),[13]設定!$I45))</f>
        <v>134.9</v>
      </c>
      <c r="O69" s="52">
        <f>IF($D69="","",IF([13]設定!$I45="",INDEX([13]第３表!$F$10:$Q$66,MATCH([13]設定!$D45,[13]第３表!$C$10:$C$66,0),11),[13]設定!$I45))</f>
        <v>133.80000000000001</v>
      </c>
      <c r="P69" s="55">
        <f>IF($D69="","",IF([13]設定!$I45="",INDEX([13]第３表!$F$10:$Q$66,MATCH([13]設定!$D45,[13]第３表!$C$10:$C$66,0),12),[13]設定!$I45))</f>
        <v>1.1000000000000001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IF($D70="","",IF([13]設定!$I46="",INDEX([13]第３表!$F$10:$Q$66,MATCH([13]設定!$D46,[13]第３表!$C$10:$C$66,0),1),[13]設定!$I46))</f>
        <v>20.5</v>
      </c>
      <c r="F70" s="52">
        <f>IF($D70="","",IF([13]設定!$I46="",INDEX([13]第３表!$F$10:$Q$66,MATCH([13]設定!$D46,[13]第３表!$C$10:$C$66,0),2),[13]設定!$I46))</f>
        <v>171.5</v>
      </c>
      <c r="G70" s="52">
        <f>IF($D70="","",IF([13]設定!$I46="",INDEX([13]第３表!$F$10:$Q$66,MATCH([13]設定!$D46,[13]第３表!$C$10:$C$66,0),3),[13]設定!$I46))</f>
        <v>151</v>
      </c>
      <c r="H70" s="55">
        <f>IF($D70="","",IF([13]設定!$I46="",INDEX([13]第３表!$F$10:$Q$66,MATCH([13]設定!$D46,[13]第３表!$C$10:$C$66,0),4),[13]設定!$I46))</f>
        <v>20.5</v>
      </c>
      <c r="I70" s="52">
        <f>IF($D70="","",IF([13]設定!$I46="",INDEX([13]第３表!$F$10:$Q$66,MATCH([13]設定!$D46,[13]第３表!$C$10:$C$66,0),5),[13]設定!$I46))</f>
        <v>20.6</v>
      </c>
      <c r="J70" s="52">
        <f>IF($D70="","",IF([13]設定!$I46="",INDEX([13]第３表!$F$10:$Q$66,MATCH([13]設定!$D46,[13]第３表!$C$10:$C$66,0),6),[13]設定!$I46))</f>
        <v>173.1</v>
      </c>
      <c r="K70" s="52">
        <f>IF($D70="","",IF([13]設定!$I46="",INDEX([13]第３表!$F$10:$Q$66,MATCH([13]設定!$D46,[13]第３表!$C$10:$C$66,0),7),[13]設定!$I46))</f>
        <v>150.69999999999999</v>
      </c>
      <c r="L70" s="55">
        <f>IF($D70="","",IF([13]設定!$I46="",INDEX([13]第３表!$F$10:$Q$66,MATCH([13]設定!$D46,[13]第３表!$C$10:$C$66,0),8),[13]設定!$I46))</f>
        <v>22.4</v>
      </c>
      <c r="M70" s="52">
        <f>IF($D70="","",IF([13]設定!$I46="",INDEX([13]第３表!$F$10:$Q$66,MATCH([13]設定!$D46,[13]第３表!$C$10:$C$66,0),9),[13]設定!$I46))</f>
        <v>19.899999999999999</v>
      </c>
      <c r="N70" s="52">
        <f>IF($D70="","",IF([13]設定!$I46="",INDEX([13]第３表!$F$10:$Q$66,MATCH([13]設定!$D46,[13]第３表!$C$10:$C$66,0),10),[13]設定!$I46))</f>
        <v>161.19999999999999</v>
      </c>
      <c r="O70" s="52">
        <f>IF($D70="","",IF([13]設定!$I46="",INDEX([13]第３表!$F$10:$Q$66,MATCH([13]設定!$D46,[13]第３表!$C$10:$C$66,0),11),[13]設定!$I46))</f>
        <v>153.1</v>
      </c>
      <c r="P70" s="55">
        <f>IF($D70="","",IF([13]設定!$I46="",INDEX([13]第３表!$F$10:$Q$66,MATCH([13]設定!$D46,[13]第３表!$C$10:$C$66,0),12),[13]設定!$I46))</f>
        <v>8.1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IF($D71="","",IF([13]設定!$I47="",INDEX([13]第３表!$F$10:$Q$66,MATCH([13]設定!$D47,[13]第３表!$C$10:$C$66,0),1),[13]設定!$I47))</f>
        <v>19.600000000000001</v>
      </c>
      <c r="F71" s="52">
        <f>IF($D71="","",IF([13]設定!$I47="",INDEX([13]第３表!$F$10:$Q$66,MATCH([13]設定!$D47,[13]第３表!$C$10:$C$66,0),2),[13]設定!$I47))</f>
        <v>155.9</v>
      </c>
      <c r="G71" s="52">
        <f>IF($D71="","",IF([13]設定!$I47="",INDEX([13]第３表!$F$10:$Q$66,MATCH([13]設定!$D47,[13]第３表!$C$10:$C$66,0),3),[13]設定!$I47))</f>
        <v>146.6</v>
      </c>
      <c r="H71" s="55">
        <f>IF($D71="","",IF([13]設定!$I47="",INDEX([13]第３表!$F$10:$Q$66,MATCH([13]設定!$D47,[13]第３表!$C$10:$C$66,0),4),[13]設定!$I47))</f>
        <v>9.3000000000000007</v>
      </c>
      <c r="I71" s="52">
        <f>IF($D71="","",IF([13]設定!$I47="",INDEX([13]第３表!$F$10:$Q$66,MATCH([13]設定!$D47,[13]第３表!$C$10:$C$66,0),5),[13]設定!$I47))</f>
        <v>19.8</v>
      </c>
      <c r="J71" s="52">
        <f>IF($D71="","",IF([13]設定!$I47="",INDEX([13]第３表!$F$10:$Q$66,MATCH([13]設定!$D47,[13]第３表!$C$10:$C$66,0),6),[13]設定!$I47))</f>
        <v>163.19999999999999</v>
      </c>
      <c r="K71" s="52">
        <f>IF($D71="","",IF([13]設定!$I47="",INDEX([13]第３表!$F$10:$Q$66,MATCH([13]設定!$D47,[13]第３表!$C$10:$C$66,0),7),[13]設定!$I47))</f>
        <v>151.69999999999999</v>
      </c>
      <c r="L71" s="55">
        <f>IF($D71="","",IF([13]設定!$I47="",INDEX([13]第３表!$F$10:$Q$66,MATCH([13]設定!$D47,[13]第３表!$C$10:$C$66,0),8),[13]設定!$I47))</f>
        <v>11.5</v>
      </c>
      <c r="M71" s="52">
        <f>IF($D71="","",IF([13]設定!$I47="",INDEX([13]第３表!$F$10:$Q$66,MATCH([13]設定!$D47,[13]第３表!$C$10:$C$66,0),9),[13]設定!$I47))</f>
        <v>19.100000000000001</v>
      </c>
      <c r="N71" s="52">
        <f>IF($D71="","",IF([13]設定!$I47="",INDEX([13]第３表!$F$10:$Q$66,MATCH([13]設定!$D47,[13]第３表!$C$10:$C$66,0),10),[13]設定!$I47))</f>
        <v>131.69999999999999</v>
      </c>
      <c r="O71" s="52">
        <f>IF($D71="","",IF([13]設定!$I47="",INDEX([13]第３表!$F$10:$Q$66,MATCH([13]設定!$D47,[13]第３表!$C$10:$C$66,0),11),[13]設定!$I47))</f>
        <v>129.9</v>
      </c>
      <c r="P71" s="55">
        <f>IF($D71="","",IF([13]設定!$I47="",INDEX([13]第３表!$F$10:$Q$66,MATCH([13]設定!$D47,[13]第３表!$C$10:$C$66,0),12),[13]設定!$I47))</f>
        <v>1.8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IF($D72="","",IF([13]設定!$I48="",INDEX([13]第３表!$F$10:$Q$66,MATCH([13]設定!$D48,[13]第３表!$C$10:$C$66,0),1),[13]設定!$I48))</f>
        <v>20.100000000000001</v>
      </c>
      <c r="F72" s="55">
        <f>IF($D72="","",IF([13]設定!$I48="",INDEX([13]第３表!$F$10:$Q$66,MATCH([13]設定!$D48,[13]第３表!$C$10:$C$66,0),2),[13]設定!$I48))</f>
        <v>165.4</v>
      </c>
      <c r="G72" s="55">
        <f>IF($D72="","",IF([13]設定!$I48="",INDEX([13]第３表!$F$10:$Q$66,MATCH([13]設定!$D48,[13]第３表!$C$10:$C$66,0),3),[13]設定!$I48))</f>
        <v>154.9</v>
      </c>
      <c r="H72" s="55">
        <f>IF($D72="","",IF([13]設定!$I48="",INDEX([13]第３表!$F$10:$Q$66,MATCH([13]設定!$D48,[13]第３表!$C$10:$C$66,0),4),[13]設定!$I48))</f>
        <v>10.5</v>
      </c>
      <c r="I72" s="55">
        <f>IF($D72="","",IF([13]設定!$I48="",INDEX([13]第３表!$F$10:$Q$66,MATCH([13]設定!$D48,[13]第３表!$C$10:$C$66,0),5),[13]設定!$I48))</f>
        <v>20.3</v>
      </c>
      <c r="J72" s="55">
        <f>IF($D72="","",IF([13]設定!$I48="",INDEX([13]第３表!$F$10:$Q$66,MATCH([13]設定!$D48,[13]第３表!$C$10:$C$66,0),6),[13]設定!$I48))</f>
        <v>171</v>
      </c>
      <c r="K72" s="55">
        <f>IF($D72="","",IF([13]設定!$I48="",INDEX([13]第３表!$F$10:$Q$66,MATCH([13]設定!$D48,[13]第３表!$C$10:$C$66,0),7),[13]設定!$I48))</f>
        <v>158.19999999999999</v>
      </c>
      <c r="L72" s="55">
        <f>IF($D72="","",IF([13]設定!$I48="",INDEX([13]第３表!$F$10:$Q$66,MATCH([13]設定!$D48,[13]第３表!$C$10:$C$66,0),8),[13]設定!$I48))</f>
        <v>12.8</v>
      </c>
      <c r="M72" s="55">
        <f>IF($D72="","",IF([13]設定!$I48="",INDEX([13]第３表!$F$10:$Q$66,MATCH([13]設定!$D48,[13]第３表!$C$10:$C$66,0),9),[13]設定!$I48))</f>
        <v>19.2</v>
      </c>
      <c r="N72" s="55">
        <f>IF($D72="","",IF([13]設定!$I48="",INDEX([13]第３表!$F$10:$Q$66,MATCH([13]設定!$D48,[13]第３表!$C$10:$C$66,0),10),[13]設定!$I48))</f>
        <v>148.6</v>
      </c>
      <c r="O72" s="55">
        <f>IF($D72="","",IF([13]設定!$I48="",INDEX([13]第３表!$F$10:$Q$66,MATCH([13]設定!$D48,[13]第３表!$C$10:$C$66,0),11),[13]設定!$I48))</f>
        <v>145.1</v>
      </c>
      <c r="P72" s="55">
        <f>IF($D72="","",IF([13]設定!$I48="",INDEX([13]第３表!$F$10:$Q$66,MATCH([13]設定!$D48,[13]第３表!$C$10:$C$66,0),12),[13]設定!$I48))</f>
        <v>3.5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IF($D73="","",IF([13]設定!$I49="",INDEX([13]第３表!$F$10:$Q$66,MATCH([13]設定!$D49,[13]第３表!$C$10:$C$66,0),1),[13]設定!$I49))</f>
        <v>19.399999999999999</v>
      </c>
      <c r="F73" s="55">
        <f>IF($D73="","",IF([13]設定!$I49="",INDEX([13]第３表!$F$10:$Q$66,MATCH([13]設定!$D49,[13]第３表!$C$10:$C$66,0),2),[13]設定!$I49))</f>
        <v>160.80000000000001</v>
      </c>
      <c r="G73" s="55">
        <f>IF($D73="","",IF([13]設定!$I49="",INDEX([13]第３表!$F$10:$Q$66,MATCH([13]設定!$D49,[13]第３表!$C$10:$C$66,0),3),[13]設定!$I49))</f>
        <v>152</v>
      </c>
      <c r="H73" s="55">
        <f>IF($D73="","",IF([13]設定!$I49="",INDEX([13]第３表!$F$10:$Q$66,MATCH([13]設定!$D49,[13]第３表!$C$10:$C$66,0),4),[13]設定!$I49))</f>
        <v>8.8000000000000007</v>
      </c>
      <c r="I73" s="55">
        <f>IF($D73="","",IF([13]設定!$I49="",INDEX([13]第３表!$F$10:$Q$66,MATCH([13]設定!$D49,[13]第３表!$C$10:$C$66,0),5),[13]設定!$I49))</f>
        <v>20</v>
      </c>
      <c r="J73" s="55">
        <f>IF($D73="","",IF([13]設定!$I49="",INDEX([13]第３表!$F$10:$Q$66,MATCH([13]設定!$D49,[13]第３表!$C$10:$C$66,0),6),[13]設定!$I49))</f>
        <v>166.8</v>
      </c>
      <c r="K73" s="55">
        <f>IF($D73="","",IF([13]設定!$I49="",INDEX([13]第３表!$F$10:$Q$66,MATCH([13]設定!$D49,[13]第３表!$C$10:$C$66,0),7),[13]設定!$I49))</f>
        <v>155.19999999999999</v>
      </c>
      <c r="L73" s="55">
        <f>IF($D73="","",IF([13]設定!$I49="",INDEX([13]第３表!$F$10:$Q$66,MATCH([13]設定!$D49,[13]第３表!$C$10:$C$66,0),8),[13]設定!$I49))</f>
        <v>11.6</v>
      </c>
      <c r="M73" s="55">
        <f>IF($D73="","",IF([13]設定!$I49="",INDEX([13]第３表!$F$10:$Q$66,MATCH([13]設定!$D49,[13]第３表!$C$10:$C$66,0),9),[13]設定!$I49))</f>
        <v>18.8</v>
      </c>
      <c r="N73" s="55">
        <f>IF($D73="","",IF([13]設定!$I49="",INDEX([13]第３表!$F$10:$Q$66,MATCH([13]設定!$D49,[13]第３表!$C$10:$C$66,0),10),[13]設定!$I49))</f>
        <v>155.19999999999999</v>
      </c>
      <c r="O73" s="55">
        <f>IF($D73="","",IF([13]設定!$I49="",INDEX([13]第３表!$F$10:$Q$66,MATCH([13]設定!$D49,[13]第３表!$C$10:$C$66,0),11),[13]設定!$I49))</f>
        <v>149</v>
      </c>
      <c r="P73" s="55">
        <f>IF($D73="","",IF([13]設定!$I49="",INDEX([13]第３表!$F$10:$Q$66,MATCH([13]設定!$D49,[13]第３表!$C$10:$C$66,0),12),[13]設定!$I49))</f>
        <v>6.2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IF($D74="","",IF([13]設定!$I50="",INDEX([13]第３表!$F$10:$Q$66,MATCH([13]設定!$D50,[13]第３表!$C$10:$C$66,0),1),[13]設定!$I50))</f>
        <v>19</v>
      </c>
      <c r="F74" s="55">
        <f>IF($D74="","",IF([13]設定!$I50="",INDEX([13]第３表!$F$10:$Q$66,MATCH([13]設定!$D50,[13]第３表!$C$10:$C$66,0),2),[13]設定!$I50))</f>
        <v>160.1</v>
      </c>
      <c r="G74" s="55">
        <f>IF($D74="","",IF([13]設定!$I50="",INDEX([13]第３表!$F$10:$Q$66,MATCH([13]設定!$D50,[13]第３表!$C$10:$C$66,0),3),[13]設定!$I50))</f>
        <v>147.6</v>
      </c>
      <c r="H74" s="55">
        <f>IF($D74="","",IF([13]設定!$I50="",INDEX([13]第３表!$F$10:$Q$66,MATCH([13]設定!$D50,[13]第３表!$C$10:$C$66,0),4),[13]設定!$I50))</f>
        <v>12.5</v>
      </c>
      <c r="I74" s="55">
        <f>IF($D74="","",IF([13]設定!$I50="",INDEX([13]第３表!$F$10:$Q$66,MATCH([13]設定!$D50,[13]第３表!$C$10:$C$66,0),5),[13]設定!$I50))</f>
        <v>19</v>
      </c>
      <c r="J74" s="55">
        <f>IF($D74="","",IF([13]設定!$I50="",INDEX([13]第３表!$F$10:$Q$66,MATCH([13]設定!$D50,[13]第３表!$C$10:$C$66,0),6),[13]設定!$I50))</f>
        <v>166.4</v>
      </c>
      <c r="K74" s="55">
        <f>IF($D74="","",IF([13]設定!$I50="",INDEX([13]第３表!$F$10:$Q$66,MATCH([13]設定!$D50,[13]第３表!$C$10:$C$66,0),7),[13]設定!$I50))</f>
        <v>150.69999999999999</v>
      </c>
      <c r="L74" s="55">
        <f>IF($D74="","",IF([13]設定!$I50="",INDEX([13]第３表!$F$10:$Q$66,MATCH([13]設定!$D50,[13]第３表!$C$10:$C$66,0),8),[13]設定!$I50))</f>
        <v>15.7</v>
      </c>
      <c r="M74" s="55">
        <f>IF($D74="","",IF([13]設定!$I50="",INDEX([13]第３表!$F$10:$Q$66,MATCH([13]設定!$D50,[13]第３表!$C$10:$C$66,0),9),[13]設定!$I50))</f>
        <v>19</v>
      </c>
      <c r="N74" s="55">
        <f>IF($D74="","",IF([13]設定!$I50="",INDEX([13]第３表!$F$10:$Q$66,MATCH([13]設定!$D50,[13]第３表!$C$10:$C$66,0),10),[13]設定!$I50))</f>
        <v>147.9</v>
      </c>
      <c r="O74" s="55">
        <f>IF($D74="","",IF([13]設定!$I50="",INDEX([13]第３表!$F$10:$Q$66,MATCH([13]設定!$D50,[13]第３表!$C$10:$C$66,0),11),[13]設定!$I50))</f>
        <v>141.5</v>
      </c>
      <c r="P74" s="55">
        <f>IF($D74="","",IF([13]設定!$I50="",INDEX([13]第３表!$F$10:$Q$66,MATCH([13]設定!$D50,[13]第３表!$C$10:$C$66,0),12),[13]設定!$I50))</f>
        <v>6.4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IF($D75="","",IF([13]設定!$I51="",INDEX([13]第３表!$F$10:$Q$66,MATCH([13]設定!$D51,[13]第３表!$C$10:$C$66,0),1),[13]設定!$I51))</f>
        <v>20.9</v>
      </c>
      <c r="F75" s="55">
        <f>IF($D75="","",IF([13]設定!$I51="",INDEX([13]第３表!$F$10:$Q$66,MATCH([13]設定!$D51,[13]第３表!$C$10:$C$66,0),2),[13]設定!$I51))</f>
        <v>166.8</v>
      </c>
      <c r="G75" s="55">
        <f>IF($D75="","",IF([13]設定!$I51="",INDEX([13]第３表!$F$10:$Q$66,MATCH([13]設定!$D51,[13]第３表!$C$10:$C$66,0),3),[13]設定!$I51))</f>
        <v>161.5</v>
      </c>
      <c r="H75" s="55">
        <f>IF($D75="","",IF([13]設定!$I51="",INDEX([13]第３表!$F$10:$Q$66,MATCH([13]設定!$D51,[13]第３表!$C$10:$C$66,0),4),[13]設定!$I51))</f>
        <v>5.3</v>
      </c>
      <c r="I75" s="55">
        <f>IF($D75="","",IF([13]設定!$I51="",INDEX([13]第３表!$F$10:$Q$66,MATCH([13]設定!$D51,[13]第３表!$C$10:$C$66,0),5),[13]設定!$I51))</f>
        <v>21.1</v>
      </c>
      <c r="J75" s="55">
        <f>IF($D75="","",IF([13]設定!$I51="",INDEX([13]第３表!$F$10:$Q$66,MATCH([13]設定!$D51,[13]第３表!$C$10:$C$66,0),6),[13]設定!$I51))</f>
        <v>172.1</v>
      </c>
      <c r="K75" s="55">
        <f>IF($D75="","",IF([13]設定!$I51="",INDEX([13]第３表!$F$10:$Q$66,MATCH([13]設定!$D51,[13]第３表!$C$10:$C$66,0),7),[13]設定!$I51))</f>
        <v>164.9</v>
      </c>
      <c r="L75" s="55">
        <f>IF($D75="","",IF([13]設定!$I51="",INDEX([13]第３表!$F$10:$Q$66,MATCH([13]設定!$D51,[13]第３表!$C$10:$C$66,0),8),[13]設定!$I51))</f>
        <v>7.2</v>
      </c>
      <c r="M75" s="55">
        <f>IF($D75="","",IF([13]設定!$I51="",INDEX([13]第３表!$F$10:$Q$66,MATCH([13]設定!$D51,[13]第３表!$C$10:$C$66,0),9),[13]設定!$I51))</f>
        <v>20.399999999999999</v>
      </c>
      <c r="N75" s="55">
        <f>IF($D75="","",IF([13]設定!$I51="",INDEX([13]第３表!$F$10:$Q$66,MATCH([13]設定!$D51,[13]第３表!$C$10:$C$66,0),10),[13]設定!$I51))</f>
        <v>155.80000000000001</v>
      </c>
      <c r="O75" s="55">
        <f>IF($D75="","",IF([13]設定!$I51="",INDEX([13]第３表!$F$10:$Q$66,MATCH([13]設定!$D51,[13]第３表!$C$10:$C$66,0),11),[13]設定!$I51))</f>
        <v>154.4</v>
      </c>
      <c r="P75" s="55">
        <f>IF($D75="","",IF([13]設定!$I51="",INDEX([13]第３表!$F$10:$Q$66,MATCH([13]設定!$D51,[13]第３表!$C$10:$C$66,0),12),[13]設定!$I51))</f>
        <v>1.4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IF($D76="","",IF([13]設定!$I52="",INDEX([13]第３表!$F$10:$Q$66,MATCH([13]設定!$D52,[13]第３表!$C$10:$C$66,0),1),[13]設定!$I52))</f>
        <v>18.899999999999999</v>
      </c>
      <c r="F76" s="55">
        <f>IF($D76="","",IF([13]設定!$I52="",INDEX([13]第３表!$F$10:$Q$66,MATCH([13]設定!$D52,[13]第３表!$C$10:$C$66,0),2),[13]設定!$I52))</f>
        <v>175.9</v>
      </c>
      <c r="G76" s="55">
        <f>IF($D76="","",IF([13]設定!$I52="",INDEX([13]第３表!$F$10:$Q$66,MATCH([13]設定!$D52,[13]第３表!$C$10:$C$66,0),3),[13]設定!$I52))</f>
        <v>152.69999999999999</v>
      </c>
      <c r="H76" s="55">
        <f>IF($D76="","",IF([13]設定!$I52="",INDEX([13]第３表!$F$10:$Q$66,MATCH([13]設定!$D52,[13]第３表!$C$10:$C$66,0),4),[13]設定!$I52))</f>
        <v>23.2</v>
      </c>
      <c r="I76" s="55">
        <f>IF($D76="","",IF([13]設定!$I52="",INDEX([13]第３表!$F$10:$Q$66,MATCH([13]設定!$D52,[13]第３表!$C$10:$C$66,0),5),[13]設定!$I52))</f>
        <v>19</v>
      </c>
      <c r="J76" s="55">
        <f>IF($D76="","",IF([13]設定!$I52="",INDEX([13]第３表!$F$10:$Q$66,MATCH([13]設定!$D52,[13]第３表!$C$10:$C$66,0),6),[13]設定!$I52))</f>
        <v>179</v>
      </c>
      <c r="K76" s="55">
        <f>IF($D76="","",IF([13]設定!$I52="",INDEX([13]第３表!$F$10:$Q$66,MATCH([13]設定!$D52,[13]第３表!$C$10:$C$66,0),7),[13]設定!$I52))</f>
        <v>154.5</v>
      </c>
      <c r="L76" s="55">
        <f>IF($D76="","",IF([13]設定!$I52="",INDEX([13]第３表!$F$10:$Q$66,MATCH([13]設定!$D52,[13]第３表!$C$10:$C$66,0),8),[13]設定!$I52))</f>
        <v>24.5</v>
      </c>
      <c r="M76" s="55">
        <f>IF($D76="","",IF([13]設定!$I52="",INDEX([13]第３表!$F$10:$Q$66,MATCH([13]設定!$D52,[13]第３表!$C$10:$C$66,0),9),[13]設定!$I52))</f>
        <v>18.7</v>
      </c>
      <c r="N76" s="55">
        <f>IF($D76="","",IF([13]設定!$I52="",INDEX([13]第３表!$F$10:$Q$66,MATCH([13]設定!$D52,[13]第３表!$C$10:$C$66,0),10),[13]設定!$I52))</f>
        <v>162.69999999999999</v>
      </c>
      <c r="O76" s="55">
        <f>IF($D76="","",IF([13]設定!$I52="",INDEX([13]第３表!$F$10:$Q$66,MATCH([13]設定!$D52,[13]第３表!$C$10:$C$66,0),11),[13]設定!$I52))</f>
        <v>144.9</v>
      </c>
      <c r="P76" s="55">
        <f>IF($D76="","",IF([13]設定!$I52="",INDEX([13]第３表!$F$10:$Q$66,MATCH([13]設定!$D52,[13]第３表!$C$10:$C$66,0),12),[13]設定!$I52))</f>
        <v>17.8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IF($D77="","",IF([13]設定!$I53="",INDEX([13]第３表!$F$10:$Q$66,MATCH([13]設定!$D53,[13]第３表!$C$10:$C$66,0),1),[13]設定!$I53))</f>
        <v>19.899999999999999</v>
      </c>
      <c r="F77" s="69">
        <f>IF($D77="","",IF([13]設定!$I53="",INDEX([13]第３表!$F$10:$Q$66,MATCH([13]設定!$D53,[13]第３表!$C$10:$C$66,0),2),[13]設定!$I53))</f>
        <v>162.5</v>
      </c>
      <c r="G77" s="69">
        <f>IF($D77="","",IF([13]設定!$I53="",INDEX([13]第３表!$F$10:$Q$66,MATCH([13]設定!$D53,[13]第３表!$C$10:$C$66,0),3),[13]設定!$I53))</f>
        <v>153</v>
      </c>
      <c r="H77" s="69">
        <f>IF($D77="","",IF([13]設定!$I53="",INDEX([13]第３表!$F$10:$Q$66,MATCH([13]設定!$D53,[13]第３表!$C$10:$C$66,0),4),[13]設定!$I53))</f>
        <v>9.5</v>
      </c>
      <c r="I77" s="69">
        <f>IF($D77="","",IF([13]設定!$I53="",INDEX([13]第３表!$F$10:$Q$66,MATCH([13]設定!$D53,[13]第３表!$C$10:$C$66,0),5),[13]設定!$I53))</f>
        <v>20.3</v>
      </c>
      <c r="J77" s="69">
        <f>IF($D77="","",IF([13]設定!$I53="",INDEX([13]第３表!$F$10:$Q$66,MATCH([13]設定!$D53,[13]第３表!$C$10:$C$66,0),6),[13]設定!$I53))</f>
        <v>167.6</v>
      </c>
      <c r="K77" s="69">
        <f>IF($D77="","",IF([13]設定!$I53="",INDEX([13]第３表!$F$10:$Q$66,MATCH([13]設定!$D53,[13]第３表!$C$10:$C$66,0),7),[13]設定!$I53))</f>
        <v>154.69999999999999</v>
      </c>
      <c r="L77" s="69">
        <f>IF($D77="","",IF([13]設定!$I53="",INDEX([13]第３表!$F$10:$Q$66,MATCH([13]設定!$D53,[13]第３表!$C$10:$C$66,0),8),[13]設定!$I53))</f>
        <v>12.9</v>
      </c>
      <c r="M77" s="69">
        <f>IF($D77="","",IF([13]設定!$I53="",INDEX([13]第３表!$F$10:$Q$66,MATCH([13]設定!$D53,[13]第３表!$C$10:$C$66,0),9),[13]設定!$I53))</f>
        <v>19.3</v>
      </c>
      <c r="N77" s="69">
        <f>IF($D77="","",IF([13]設定!$I53="",INDEX([13]第３表!$F$10:$Q$66,MATCH([13]設定!$D53,[13]第３表!$C$10:$C$66,0),10),[13]設定!$I53))</f>
        <v>154.6</v>
      </c>
      <c r="O77" s="69">
        <f>IF($D77="","",IF([13]設定!$I53="",INDEX([13]第３表!$F$10:$Q$66,MATCH([13]設定!$D53,[13]第３表!$C$10:$C$66,0),11),[13]設定!$I53))</f>
        <v>150.30000000000001</v>
      </c>
      <c r="P77" s="69">
        <f>IF($D77="","",IF([13]設定!$I53="",INDEX([13]第３表!$F$10:$Q$66,MATCH([13]設定!$D53,[13]第３表!$C$10:$C$66,0),12),[13]設定!$I53))</f>
        <v>4.3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IF($D78="","",IF([13]設定!$I54="",INDEX([13]第３表!$F$10:$Q$66,MATCH([13]設定!$D54,[13]第３表!$C$10:$C$66,0),1),[13]設定!$I54))</f>
        <v>18.2</v>
      </c>
      <c r="F78" s="73">
        <f>IF($D78="","",IF([13]設定!$I54="",INDEX([13]第３表!$F$10:$Q$66,MATCH([13]設定!$D54,[13]第３表!$C$10:$C$66,0),2),[13]設定!$I54))</f>
        <v>147.4</v>
      </c>
      <c r="G78" s="73">
        <f>IF($D78="","",IF([13]設定!$I54="",INDEX([13]第３表!$F$10:$Q$66,MATCH([13]設定!$D54,[13]第３表!$C$10:$C$66,0),3),[13]設定!$I54))</f>
        <v>138.69999999999999</v>
      </c>
      <c r="H78" s="73">
        <f>IF($D78="","",IF([13]設定!$I54="",INDEX([13]第３表!$F$10:$Q$66,MATCH([13]設定!$D54,[13]第３表!$C$10:$C$66,0),4),[13]設定!$I54))</f>
        <v>8.6999999999999993</v>
      </c>
      <c r="I78" s="73">
        <f>IF($D78="","",IF([13]設定!$I54="",INDEX([13]第３表!$F$10:$Q$66,MATCH([13]設定!$D54,[13]第３表!$C$10:$C$66,0),5),[13]設定!$I54))</f>
        <v>18.5</v>
      </c>
      <c r="J78" s="73">
        <f>IF($D78="","",IF([13]設定!$I54="",INDEX([13]第３表!$F$10:$Q$66,MATCH([13]設定!$D54,[13]第３表!$C$10:$C$66,0),6),[13]設定!$I54))</f>
        <v>161.69999999999999</v>
      </c>
      <c r="K78" s="73">
        <f>IF($D78="","",IF([13]設定!$I54="",INDEX([13]第３表!$F$10:$Q$66,MATCH([13]設定!$D54,[13]第３表!$C$10:$C$66,0),7),[13]設定!$I54))</f>
        <v>148.1</v>
      </c>
      <c r="L78" s="73">
        <f>IF($D78="","",IF([13]設定!$I54="",INDEX([13]第３表!$F$10:$Q$66,MATCH([13]設定!$D54,[13]第３表!$C$10:$C$66,0),8),[13]設定!$I54))</f>
        <v>13.6</v>
      </c>
      <c r="M78" s="73">
        <f>IF($D78="","",IF([13]設定!$I54="",INDEX([13]第３表!$F$10:$Q$66,MATCH([13]設定!$D54,[13]第３表!$C$10:$C$66,0),9),[13]設定!$I54))</f>
        <v>17.8</v>
      </c>
      <c r="N78" s="73">
        <f>IF($D78="","",IF([13]設定!$I54="",INDEX([13]第３表!$F$10:$Q$66,MATCH([13]設定!$D54,[13]第３表!$C$10:$C$66,0),10),[13]設定!$I54))</f>
        <v>135.80000000000001</v>
      </c>
      <c r="O78" s="73">
        <f>IF($D78="","",IF([13]設定!$I54="",INDEX([13]第３表!$F$10:$Q$66,MATCH([13]設定!$D54,[13]第３表!$C$10:$C$66,0),11),[13]設定!$I54))</f>
        <v>131.1</v>
      </c>
      <c r="P78" s="73">
        <f>IF($D78="","",IF([13]設定!$I54="",INDEX([13]第３表!$F$10:$Q$66,MATCH([13]設定!$D54,[13]第３表!$C$10:$C$66,0),12),[13]設定!$I54))</f>
        <v>4.7</v>
      </c>
    </row>
  </sheetData>
  <phoneticPr fontId="2"/>
  <printOptions horizontalCentered="1"/>
  <pageMargins left="0.59055118110236227" right="0.59055118110236227" top="0.35433070866141736" bottom="0.59055118110236227" header="0" footer="0.59055118110236227"/>
  <pageSetup paperSize="9" scale="59" orientation="portrait" blackAndWhite="1" cellComments="atEnd" horizontalDpi="300" verticalDpi="300" r:id="rId1"/>
  <headerFooter scaleWithDoc="0" alignWithMargins="0">
    <oddFooter>&amp;C- 15 -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07D5-B276-4355-A62D-34E20A410916}">
  <sheetPr codeName="Sheet7"/>
  <dimension ref="A1:R78"/>
  <sheetViews>
    <sheetView showGridLines="0" view="pageBreakPreview" topLeftCell="A24" zoomScale="80" zoomScaleNormal="80" zoomScaleSheetLayoutView="80" workbookViewId="0">
      <selection activeCell="G81" sqref="G81:G82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3.1992187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（"&amp;[15]設定!D8&amp;DBCS([15]設定!E8)&amp;"年"&amp;DBCS([15]設定!F8)&amp;"月）"</f>
        <v>　　    （令和５年８月）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+[16]第５表!B9</f>
        <v>TL</v>
      </c>
      <c r="C9" s="46"/>
      <c r="D9" s="47" t="str">
        <f>+[16]第５表!D9</f>
        <v>調査産業計</v>
      </c>
      <c r="E9" s="48">
        <f>IF($D9="","",IF([15]設定!$H23="",INDEX([15]第３表!$F$80:$Q$136,MATCH([15]設定!$D23,[15]第３表!$C$80:$C$136,0),1),[15]設定!$H23))</f>
        <v>17.7</v>
      </c>
      <c r="F9" s="48">
        <f>IF($D9="","",IF([15]設定!$H23="",INDEX([15]第３表!$F$80:$Q$136,MATCH([15]設定!$D23,[15]第３表!$C$80:$C$136,0),2),[15]設定!$H23))</f>
        <v>135</v>
      </c>
      <c r="G9" s="48">
        <f>IF($D9="","",IF([15]設定!$H23="",INDEX([15]第３表!$F$80:$Q$136,MATCH([15]設定!$D23,[15]第３表!$C$80:$C$136,0),3),[15]設定!$H23))</f>
        <v>126.3</v>
      </c>
      <c r="H9" s="48">
        <f>IF($D9="","",IF([15]設定!$H23="",INDEX([15]第３表!$F$80:$Q$136,MATCH([15]設定!$D23,[15]第３表!$C$80:$C$136,0),4),[15]設定!$H23))</f>
        <v>8.6999999999999993</v>
      </c>
      <c r="I9" s="48">
        <f>IF($D9="","",IF([15]設定!$H23="",INDEX([15]第３表!$F$80:$Q$136,MATCH([15]設定!$D23,[15]第３表!$C$80:$C$136,0),5),[15]設定!$H23))</f>
        <v>18.5</v>
      </c>
      <c r="J9" s="48">
        <f>IF($D9="","",IF([15]設定!$H23="",INDEX([15]第３表!$F$80:$Q$136,MATCH([15]設定!$D23,[15]第３表!$C$80:$C$136,0),6),[15]設定!$H23))</f>
        <v>149.1</v>
      </c>
      <c r="K9" s="48">
        <f>IF($D9="","",IF([15]設定!$H23="",INDEX([15]第３表!$F$80:$Q$136,MATCH([15]設定!$D23,[15]第３表!$C$80:$C$136,0),7),[15]設定!$H23))</f>
        <v>136.4</v>
      </c>
      <c r="L9" s="48">
        <f>IF($D9="","",IF([15]設定!$H23="",INDEX([15]第３表!$F$80:$Q$136,MATCH([15]設定!$D23,[15]第３表!$C$80:$C$136,0),8),[15]設定!$H23))</f>
        <v>12.7</v>
      </c>
      <c r="M9" s="48">
        <f>IF($D9="","",IF([15]設定!$H23="",INDEX([15]第３表!$F$80:$Q$136,MATCH([15]設定!$D23,[15]第３表!$C$80:$C$136,0),9),[15]設定!$H23))</f>
        <v>17</v>
      </c>
      <c r="N9" s="48">
        <f>IF($D9="","",IF([15]設定!$H23="",INDEX([15]第３表!$F$80:$Q$136,MATCH([15]設定!$D23,[15]第３表!$C$80:$C$136,0),10),[15]設定!$H23))</f>
        <v>121</v>
      </c>
      <c r="O9" s="48">
        <f>IF($D9="","",IF([15]設定!$H23="",INDEX([15]第３表!$F$80:$Q$136,MATCH([15]設定!$D23,[15]第３表!$C$80:$C$136,0),11),[15]設定!$H23))</f>
        <v>116.3</v>
      </c>
      <c r="P9" s="48">
        <f>IF($D9="","",IF([15]設定!$H23="",INDEX([15]第３表!$F$80:$Q$136,MATCH([15]設定!$D23,[15]第３表!$C$80:$C$136,0),12),[15]設定!$H23))</f>
        <v>4.7</v>
      </c>
    </row>
    <row r="10" spans="1:18" s="8" customFormat="1" ht="17.25" customHeight="1" x14ac:dyDescent="0.45">
      <c r="B10" s="49" t="str">
        <f>+[16]第５表!B10</f>
        <v>D</v>
      </c>
      <c r="C10" s="50"/>
      <c r="D10" s="51" t="str">
        <f>+[16]第５表!D10</f>
        <v>建設業</v>
      </c>
      <c r="E10" s="52">
        <f>IF($D10="","",IF([15]設定!$H24="",INDEX([15]第３表!$F$80:$Q$136,MATCH([15]設定!$D24,[15]第３表!$C$80:$C$136,0),1),[15]設定!$H24))</f>
        <v>19.399999999999999</v>
      </c>
      <c r="F10" s="52">
        <f>IF($D10="","",IF([15]設定!$H24="",INDEX([15]第３表!$F$80:$Q$136,MATCH([15]設定!$D24,[15]第３表!$C$80:$C$136,0),2),[15]設定!$H24))</f>
        <v>148</v>
      </c>
      <c r="G10" s="52">
        <f>IF($D10="","",IF([15]設定!$H24="",INDEX([15]第３表!$F$80:$Q$136,MATCH([15]設定!$D24,[15]第３表!$C$80:$C$136,0),3),[15]設定!$H24))</f>
        <v>139.9</v>
      </c>
      <c r="H10" s="53">
        <f>IF($D10="","",IF([15]設定!$H24="",INDEX([15]第３表!$F$80:$Q$136,MATCH([15]設定!$D24,[15]第３表!$C$80:$C$136,0),4),[15]設定!$H24))</f>
        <v>8.1</v>
      </c>
      <c r="I10" s="54">
        <f>IF($D10="","",IF([15]設定!$H24="",INDEX([15]第３表!$F$80:$Q$136,MATCH([15]設定!$D24,[15]第３表!$C$80:$C$136,0),5),[15]設定!$H24))</f>
        <v>19.5</v>
      </c>
      <c r="J10" s="54">
        <f>IF($D10="","",IF([15]設定!$H24="",INDEX([15]第３表!$F$80:$Q$136,MATCH([15]設定!$D24,[15]第３表!$C$80:$C$136,0),6),[15]設定!$H24))</f>
        <v>149.6</v>
      </c>
      <c r="K10" s="54">
        <f>IF($D10="","",IF([15]設定!$H24="",INDEX([15]第３表!$F$80:$Q$136,MATCH([15]設定!$D24,[15]第３表!$C$80:$C$136,0),7),[15]設定!$H24))</f>
        <v>140.5</v>
      </c>
      <c r="L10" s="55">
        <f>IF($D10="","",IF([15]設定!$H24="",INDEX([15]第３表!$F$80:$Q$136,MATCH([15]設定!$D24,[15]第３表!$C$80:$C$136,0),8),[15]設定!$H24))</f>
        <v>9.1</v>
      </c>
      <c r="M10" s="56">
        <f>IF($D10="","",IF([15]設定!$H24="",INDEX([15]第３表!$F$80:$Q$136,MATCH([15]設定!$D24,[15]第３表!$C$80:$C$136,0),9),[15]設定!$H24))</f>
        <v>18.7</v>
      </c>
      <c r="N10" s="56">
        <f>IF($D10="","",IF([15]設定!$H24="",INDEX([15]第３表!$F$80:$Q$136,MATCH([15]設定!$D24,[15]第３表!$C$80:$C$136,0),10),[15]設定!$H24))</f>
        <v>138.69999999999999</v>
      </c>
      <c r="O10" s="56">
        <f>IF($D10="","",IF([15]設定!$H24="",INDEX([15]第３表!$F$80:$Q$136,MATCH([15]設定!$D24,[15]第３表!$C$80:$C$136,0),11),[15]設定!$H24))</f>
        <v>136.30000000000001</v>
      </c>
      <c r="P10" s="57">
        <f>IF($D10="","",IF([15]設定!$H24="",INDEX([15]第３表!$F$80:$Q$136,MATCH([15]設定!$D24,[15]第３表!$C$80:$C$136,0),12),[15]設定!$H24))</f>
        <v>2.4</v>
      </c>
    </row>
    <row r="11" spans="1:18" s="8" customFormat="1" ht="17.25" customHeight="1" x14ac:dyDescent="0.45">
      <c r="B11" s="49" t="str">
        <f>+[16]第５表!B11</f>
        <v>E</v>
      </c>
      <c r="C11" s="50"/>
      <c r="D11" s="51" t="str">
        <f>+[16]第５表!D11</f>
        <v>製造業</v>
      </c>
      <c r="E11" s="52">
        <f>IF($D11="","",IF([15]設定!$H25="",INDEX([15]第３表!$F$80:$Q$136,MATCH([15]設定!$D25,[15]第３表!$C$80:$C$136,0),1),[15]設定!$H25))</f>
        <v>17.899999999999999</v>
      </c>
      <c r="F11" s="52">
        <f>IF($D11="","",IF([15]設定!$H25="",INDEX([15]第３表!$F$80:$Q$136,MATCH([15]設定!$D25,[15]第３表!$C$80:$C$136,0),2),[15]設定!$H25))</f>
        <v>146.19999999999999</v>
      </c>
      <c r="G11" s="52">
        <f>IF($D11="","",IF([15]設定!$H25="",INDEX([15]第３表!$F$80:$Q$136,MATCH([15]設定!$D25,[15]第３表!$C$80:$C$136,0),3),[15]設定!$H25))</f>
        <v>134.5</v>
      </c>
      <c r="H11" s="53">
        <f>IF($D11="","",IF([15]設定!$H25="",INDEX([15]第３表!$F$80:$Q$136,MATCH([15]設定!$D25,[15]第３表!$C$80:$C$136,0),4),[15]設定!$H25))</f>
        <v>11.7</v>
      </c>
      <c r="I11" s="54">
        <f>IF($D11="","",IF([15]設定!$H25="",INDEX([15]第３表!$F$80:$Q$136,MATCH([15]設定!$D25,[15]第３表!$C$80:$C$136,0),5),[15]設定!$H25))</f>
        <v>18.5</v>
      </c>
      <c r="J11" s="54">
        <f>IF($D11="","",IF([15]設定!$H25="",INDEX([15]第３表!$F$80:$Q$136,MATCH([15]設定!$D25,[15]第３表!$C$80:$C$136,0),6),[15]設定!$H25))</f>
        <v>155.9</v>
      </c>
      <c r="K11" s="54">
        <f>IF($D11="","",IF([15]設定!$H25="",INDEX([15]第３表!$F$80:$Q$136,MATCH([15]設定!$D25,[15]第３表!$C$80:$C$136,0),7),[15]設定!$H25))</f>
        <v>140.80000000000001</v>
      </c>
      <c r="L11" s="55">
        <f>IF($D11="","",IF([15]設定!$H25="",INDEX([15]第３表!$F$80:$Q$136,MATCH([15]設定!$D25,[15]第３表!$C$80:$C$136,0),8),[15]設定!$H25))</f>
        <v>15.1</v>
      </c>
      <c r="M11" s="56">
        <f>IF($D11="","",IF([15]設定!$H25="",INDEX([15]第３表!$F$80:$Q$136,MATCH([15]設定!$D25,[15]第３表!$C$80:$C$136,0),9),[15]設定!$H25))</f>
        <v>17.100000000000001</v>
      </c>
      <c r="N11" s="56">
        <f>IF($D11="","",IF([15]設定!$H25="",INDEX([15]第３表!$F$80:$Q$136,MATCH([15]設定!$D25,[15]第３表!$C$80:$C$136,0),10),[15]設定!$H25))</f>
        <v>132.6</v>
      </c>
      <c r="O11" s="56">
        <f>IF($D11="","",IF([15]設定!$H25="",INDEX([15]第３表!$F$80:$Q$136,MATCH([15]設定!$D25,[15]第３表!$C$80:$C$136,0),11),[15]設定!$H25))</f>
        <v>125.7</v>
      </c>
      <c r="P11" s="57">
        <f>IF($D11="","",IF([15]設定!$H25="",INDEX([15]第３表!$F$80:$Q$136,MATCH([15]設定!$D25,[15]第３表!$C$80:$C$136,0),12),[15]設定!$H25))</f>
        <v>6.9</v>
      </c>
    </row>
    <row r="12" spans="1:18" s="8" customFormat="1" ht="17.25" customHeight="1" x14ac:dyDescent="0.45">
      <c r="B12" s="49" t="str">
        <f>+[16]第５表!B12</f>
        <v>F</v>
      </c>
      <c r="C12" s="50"/>
      <c r="D12" s="58" t="str">
        <f>+[16]第５表!D12</f>
        <v>電気・ガス・熱供給・水道業</v>
      </c>
      <c r="E12" s="52">
        <f>IF($D12="","",IF([15]設定!$H26="",INDEX([15]第３表!$F$80:$Q$136,MATCH([15]設定!$D26,[15]第３表!$C$80:$C$136,0),1),[15]設定!$H26))</f>
        <v>20.2</v>
      </c>
      <c r="F12" s="52">
        <f>IF($D12="","",IF([15]設定!$H26="",INDEX([15]第３表!$F$80:$Q$136,MATCH([15]設定!$D26,[15]第３表!$C$80:$C$136,0),2),[15]設定!$H26))</f>
        <v>178.1</v>
      </c>
      <c r="G12" s="52">
        <f>IF($D12="","",IF([15]設定!$H26="",INDEX([15]第３表!$F$80:$Q$136,MATCH([15]設定!$D26,[15]第３表!$C$80:$C$136,0),3),[15]設定!$H26))</f>
        <v>146.30000000000001</v>
      </c>
      <c r="H12" s="53">
        <f>IF($D12="","",IF([15]設定!$H26="",INDEX([15]第３表!$F$80:$Q$136,MATCH([15]設定!$D26,[15]第３表!$C$80:$C$136,0),4),[15]設定!$H26))</f>
        <v>31.8</v>
      </c>
      <c r="I12" s="54">
        <f>IF($D12="","",IF([15]設定!$H26="",INDEX([15]第３表!$F$80:$Q$136,MATCH([15]設定!$D26,[15]第３表!$C$80:$C$136,0),5),[15]設定!$H26))</f>
        <v>20.3</v>
      </c>
      <c r="J12" s="54">
        <f>IF($D12="","",IF([15]設定!$H26="",INDEX([15]第３表!$F$80:$Q$136,MATCH([15]設定!$D26,[15]第３表!$C$80:$C$136,0),6),[15]設定!$H26))</f>
        <v>184.5</v>
      </c>
      <c r="K12" s="54">
        <f>IF($D12="","",IF([15]設定!$H26="",INDEX([15]第３表!$F$80:$Q$136,MATCH([15]設定!$D26,[15]第３表!$C$80:$C$136,0),7),[15]設定!$H26))</f>
        <v>148.4</v>
      </c>
      <c r="L12" s="55">
        <f>IF($D12="","",IF([15]設定!$H26="",INDEX([15]第３表!$F$80:$Q$136,MATCH([15]設定!$D26,[15]第３表!$C$80:$C$136,0),8),[15]設定!$H26))</f>
        <v>36.1</v>
      </c>
      <c r="M12" s="56">
        <f>IF($D12="","",IF([15]設定!$H26="",INDEX([15]第３表!$F$80:$Q$136,MATCH([15]設定!$D26,[15]第３表!$C$80:$C$136,0),9),[15]設定!$H26))</f>
        <v>19.600000000000001</v>
      </c>
      <c r="N12" s="56">
        <f>IF($D12="","",IF([15]設定!$H26="",INDEX([15]第３表!$F$80:$Q$136,MATCH([15]設定!$D26,[15]第３表!$C$80:$C$136,0),10),[15]設定!$H26))</f>
        <v>139.30000000000001</v>
      </c>
      <c r="O12" s="56">
        <f>IF($D12="","",IF([15]設定!$H26="",INDEX([15]第３表!$F$80:$Q$136,MATCH([15]設定!$D26,[15]第３表!$C$80:$C$136,0),11),[15]設定!$H26))</f>
        <v>133.5</v>
      </c>
      <c r="P12" s="57">
        <f>IF($D12="","",IF([15]設定!$H26="",INDEX([15]第３表!$F$80:$Q$136,MATCH([15]設定!$D26,[15]第３表!$C$80:$C$136,0),12),[15]設定!$H26))</f>
        <v>5.8</v>
      </c>
    </row>
    <row r="13" spans="1:18" s="8" customFormat="1" ht="17.25" customHeight="1" x14ac:dyDescent="0.45">
      <c r="B13" s="49" t="str">
        <f>+[16]第５表!B13</f>
        <v>G</v>
      </c>
      <c r="C13" s="50"/>
      <c r="D13" s="51" t="str">
        <f>+[16]第５表!D13</f>
        <v>情報通信業</v>
      </c>
      <c r="E13" s="52">
        <f>IF($D13="","",IF([15]設定!$H27="",INDEX([15]第３表!$F$80:$Q$136,MATCH([15]設定!$D27,[15]第３表!$C$80:$C$136,0),1),[15]設定!$H27))</f>
        <v>18.7</v>
      </c>
      <c r="F13" s="52">
        <f>IF($D13="","",IF([15]設定!$H27="",INDEX([15]第３表!$F$80:$Q$136,MATCH([15]設定!$D27,[15]第３表!$C$80:$C$136,0),2),[15]設定!$H27))</f>
        <v>152.9</v>
      </c>
      <c r="G13" s="52">
        <f>IF($D13="","",IF([15]設定!$H27="",INDEX([15]第３表!$F$80:$Q$136,MATCH([15]設定!$D27,[15]第３表!$C$80:$C$136,0),3),[15]設定!$H27))</f>
        <v>142</v>
      </c>
      <c r="H13" s="53">
        <f>IF($D13="","",IF([15]設定!$H27="",INDEX([15]第３表!$F$80:$Q$136,MATCH([15]設定!$D27,[15]第３表!$C$80:$C$136,0),4),[15]設定!$H27))</f>
        <v>10.9</v>
      </c>
      <c r="I13" s="54">
        <f>IF($D13="","",IF([15]設定!$H27="",INDEX([15]第３表!$F$80:$Q$136,MATCH([15]設定!$D27,[15]第３表!$C$80:$C$136,0),5),[15]設定!$H27))</f>
        <v>18.899999999999999</v>
      </c>
      <c r="J13" s="54">
        <f>IF($D13="","",IF([15]設定!$H27="",INDEX([15]第３表!$F$80:$Q$136,MATCH([15]設定!$D27,[15]第３表!$C$80:$C$136,0),6),[15]設定!$H27))</f>
        <v>154.5</v>
      </c>
      <c r="K13" s="54">
        <f>IF($D13="","",IF([15]設定!$H27="",INDEX([15]第３表!$F$80:$Q$136,MATCH([15]設定!$D27,[15]第３表!$C$80:$C$136,0),7),[15]設定!$H27))</f>
        <v>143.4</v>
      </c>
      <c r="L13" s="55">
        <f>IF($D13="","",IF([15]設定!$H27="",INDEX([15]第３表!$F$80:$Q$136,MATCH([15]設定!$D27,[15]第３表!$C$80:$C$136,0),8),[15]設定!$H27))</f>
        <v>11.1</v>
      </c>
      <c r="M13" s="56">
        <f>IF($D13="","",IF([15]設定!$H27="",INDEX([15]第３表!$F$80:$Q$136,MATCH([15]設定!$D27,[15]第３表!$C$80:$C$136,0),9),[15]設定!$H27))</f>
        <v>18.399999999999999</v>
      </c>
      <c r="N13" s="56">
        <f>IF($D13="","",IF([15]設定!$H27="",INDEX([15]第３表!$F$80:$Q$136,MATCH([15]設定!$D27,[15]第３表!$C$80:$C$136,0),10),[15]設定!$H27))</f>
        <v>149.69999999999999</v>
      </c>
      <c r="O13" s="56">
        <f>IF($D13="","",IF([15]設定!$H27="",INDEX([15]第３表!$F$80:$Q$136,MATCH([15]設定!$D27,[15]第３表!$C$80:$C$136,0),11),[15]設定!$H27))</f>
        <v>139.1</v>
      </c>
      <c r="P13" s="57">
        <f>IF($D13="","",IF([15]設定!$H27="",INDEX([15]第３表!$F$80:$Q$136,MATCH([15]設定!$D27,[15]第３表!$C$80:$C$136,0),12),[15]設定!$H27))</f>
        <v>10.6</v>
      </c>
    </row>
    <row r="14" spans="1:18" s="8" customFormat="1" ht="17.25" customHeight="1" x14ac:dyDescent="0.45">
      <c r="B14" s="49" t="str">
        <f>+[16]第５表!B14</f>
        <v>H</v>
      </c>
      <c r="C14" s="50"/>
      <c r="D14" s="51" t="str">
        <f>+[16]第５表!D14</f>
        <v>運輸業，郵便業</v>
      </c>
      <c r="E14" s="52">
        <f>IF($D14="","",IF([15]設定!$H28="",INDEX([15]第３表!$F$80:$Q$136,MATCH([15]設定!$D28,[15]第３表!$C$80:$C$136,0),1),[15]設定!$H28))</f>
        <v>19.2</v>
      </c>
      <c r="F14" s="52">
        <f>IF($D14="","",IF([15]設定!$H28="",INDEX([15]第３表!$F$80:$Q$136,MATCH([15]設定!$D28,[15]第３表!$C$80:$C$136,0),2),[15]設定!$H28))</f>
        <v>168.6</v>
      </c>
      <c r="G14" s="52">
        <f>IF($D14="","",IF([15]設定!$H28="",INDEX([15]第３表!$F$80:$Q$136,MATCH([15]設定!$D28,[15]第３表!$C$80:$C$136,0),3),[15]設定!$H28))</f>
        <v>142.5</v>
      </c>
      <c r="H14" s="53">
        <f>IF($D14="","",IF([15]設定!$H28="",INDEX([15]第３表!$F$80:$Q$136,MATCH([15]設定!$D28,[15]第３表!$C$80:$C$136,0),4),[15]設定!$H28))</f>
        <v>26.1</v>
      </c>
      <c r="I14" s="54">
        <f>IF($D14="","",IF([15]設定!$H28="",INDEX([15]第３表!$F$80:$Q$136,MATCH([15]設定!$D28,[15]第３表!$C$80:$C$136,0),5),[15]設定!$H28))</f>
        <v>19.3</v>
      </c>
      <c r="J14" s="54">
        <f>IF($D14="","",IF([15]設定!$H28="",INDEX([15]第３表!$F$80:$Q$136,MATCH([15]設定!$D28,[15]第３表!$C$80:$C$136,0),6),[15]設定!$H28))</f>
        <v>172.4</v>
      </c>
      <c r="K14" s="54">
        <f>IF($D14="","",IF([15]設定!$H28="",INDEX([15]第３表!$F$80:$Q$136,MATCH([15]設定!$D28,[15]第３表!$C$80:$C$136,0),7),[15]設定!$H28))</f>
        <v>143.9</v>
      </c>
      <c r="L14" s="55">
        <f>IF($D14="","",IF([15]設定!$H28="",INDEX([15]第３表!$F$80:$Q$136,MATCH([15]設定!$D28,[15]第３表!$C$80:$C$136,0),8),[15]設定!$H28))</f>
        <v>28.5</v>
      </c>
      <c r="M14" s="56">
        <f>IF($D14="","",IF([15]設定!$H28="",INDEX([15]第３表!$F$80:$Q$136,MATCH([15]設定!$D28,[15]第３表!$C$80:$C$136,0),9),[15]設定!$H28))</f>
        <v>18</v>
      </c>
      <c r="N14" s="56">
        <f>IF($D14="","",IF([15]設定!$H28="",INDEX([15]第３表!$F$80:$Q$136,MATCH([15]設定!$D28,[15]第３表!$C$80:$C$136,0),10),[15]設定!$H28))</f>
        <v>138</v>
      </c>
      <c r="O14" s="56">
        <f>IF($D14="","",IF([15]設定!$H28="",INDEX([15]第３表!$F$80:$Q$136,MATCH([15]設定!$D28,[15]第３表!$C$80:$C$136,0),11),[15]設定!$H28))</f>
        <v>130.9</v>
      </c>
      <c r="P14" s="57">
        <f>IF($D14="","",IF([15]設定!$H28="",INDEX([15]第３表!$F$80:$Q$136,MATCH([15]設定!$D28,[15]第３表!$C$80:$C$136,0),12),[15]設定!$H28))</f>
        <v>7.1</v>
      </c>
    </row>
    <row r="15" spans="1:18" s="8" customFormat="1" ht="17.25" customHeight="1" x14ac:dyDescent="0.45">
      <c r="B15" s="49" t="str">
        <f>+[16]第５表!B15</f>
        <v>I</v>
      </c>
      <c r="C15" s="50"/>
      <c r="D15" s="51" t="str">
        <f>+[16]第５表!D15</f>
        <v>卸売業，小売業</v>
      </c>
      <c r="E15" s="52">
        <f>IF($D15="","",IF([15]設定!$H29="",INDEX([15]第３表!$F$80:$Q$136,MATCH([15]設定!$D29,[15]第３表!$C$80:$C$136,0),1),[15]設定!$H29))</f>
        <v>17.7</v>
      </c>
      <c r="F15" s="52">
        <f>IF($D15="","",IF([15]設定!$H29="",INDEX([15]第３表!$F$80:$Q$136,MATCH([15]設定!$D29,[15]第３表!$C$80:$C$136,0),2),[15]設定!$H29))</f>
        <v>131.1</v>
      </c>
      <c r="G15" s="52">
        <f>IF($D15="","",IF([15]設定!$H29="",INDEX([15]第３表!$F$80:$Q$136,MATCH([15]設定!$D29,[15]第３表!$C$80:$C$136,0),3),[15]設定!$H29))</f>
        <v>122.6</v>
      </c>
      <c r="H15" s="53">
        <f>IF($D15="","",IF([15]設定!$H29="",INDEX([15]第３表!$F$80:$Q$136,MATCH([15]設定!$D29,[15]第３表!$C$80:$C$136,0),4),[15]設定!$H29))</f>
        <v>8.5</v>
      </c>
      <c r="I15" s="54">
        <f>IF($D15="","",IF([15]設定!$H29="",INDEX([15]第３表!$F$80:$Q$136,MATCH([15]設定!$D29,[15]第３表!$C$80:$C$136,0),5),[15]設定!$H29))</f>
        <v>18.5</v>
      </c>
      <c r="J15" s="54">
        <f>IF($D15="","",IF([15]設定!$H29="",INDEX([15]第３表!$F$80:$Q$136,MATCH([15]設定!$D29,[15]第３表!$C$80:$C$136,0),6),[15]設定!$H29))</f>
        <v>149.9</v>
      </c>
      <c r="K15" s="54">
        <f>IF($D15="","",IF([15]設定!$H29="",INDEX([15]第３表!$F$80:$Q$136,MATCH([15]設定!$D29,[15]第３表!$C$80:$C$136,0),7),[15]設定!$H29))</f>
        <v>137</v>
      </c>
      <c r="L15" s="55">
        <f>IF($D15="","",IF([15]設定!$H29="",INDEX([15]第３表!$F$80:$Q$136,MATCH([15]設定!$D29,[15]第３表!$C$80:$C$136,0),8),[15]設定!$H29))</f>
        <v>12.9</v>
      </c>
      <c r="M15" s="56">
        <f>IF($D15="","",IF([15]設定!$H29="",INDEX([15]第３表!$F$80:$Q$136,MATCH([15]設定!$D29,[15]第３表!$C$80:$C$136,0),9),[15]設定!$H29))</f>
        <v>16.8</v>
      </c>
      <c r="N15" s="56">
        <f>IF($D15="","",IF([15]設定!$H29="",INDEX([15]第３表!$F$80:$Q$136,MATCH([15]設定!$D29,[15]第３表!$C$80:$C$136,0),10),[15]設定!$H29))</f>
        <v>110.7</v>
      </c>
      <c r="O15" s="56">
        <f>IF($D15="","",IF([15]設定!$H29="",INDEX([15]第３表!$F$80:$Q$136,MATCH([15]設定!$D29,[15]第３表!$C$80:$C$136,0),11),[15]設定!$H29))</f>
        <v>107</v>
      </c>
      <c r="P15" s="57">
        <f>IF($D15="","",IF([15]設定!$H29="",INDEX([15]第３表!$F$80:$Q$136,MATCH([15]設定!$D29,[15]第３表!$C$80:$C$136,0),12),[15]設定!$H29))</f>
        <v>3.7</v>
      </c>
    </row>
    <row r="16" spans="1:18" s="8" customFormat="1" ht="17.25" customHeight="1" x14ac:dyDescent="0.45">
      <c r="B16" s="49" t="str">
        <f>+[16]第５表!B16</f>
        <v>J</v>
      </c>
      <c r="C16" s="50"/>
      <c r="D16" s="51" t="str">
        <f>+[16]第５表!D16</f>
        <v>金融業，保険業</v>
      </c>
      <c r="E16" s="52">
        <f>IF($D16="","",IF([15]設定!$H30="",INDEX([15]第３表!$F$80:$Q$136,MATCH([15]設定!$D30,[15]第３表!$C$80:$C$136,0),1),[15]設定!$H30))</f>
        <v>20.100000000000001</v>
      </c>
      <c r="F16" s="52">
        <f>IF($D16="","",IF([15]設定!$H30="",INDEX([15]第３表!$F$80:$Q$136,MATCH([15]設定!$D30,[15]第３表!$C$80:$C$136,0),2),[15]設定!$H30))</f>
        <v>155.5</v>
      </c>
      <c r="G16" s="52">
        <f>IF($D16="","",IF([15]設定!$H30="",INDEX([15]第３表!$F$80:$Q$136,MATCH([15]設定!$D30,[15]第３表!$C$80:$C$136,0),3),[15]設定!$H30))</f>
        <v>149.1</v>
      </c>
      <c r="H16" s="53">
        <f>IF($D16="","",IF([15]設定!$H30="",INDEX([15]第３表!$F$80:$Q$136,MATCH([15]設定!$D30,[15]第３表!$C$80:$C$136,0),4),[15]設定!$H30))</f>
        <v>6.4</v>
      </c>
      <c r="I16" s="54">
        <f>IF($D16="","",IF([15]設定!$H30="",INDEX([15]第３表!$F$80:$Q$136,MATCH([15]設定!$D30,[15]第３表!$C$80:$C$136,0),5),[15]設定!$H30))</f>
        <v>20</v>
      </c>
      <c r="J16" s="54">
        <f>IF($D16="","",IF([15]設定!$H30="",INDEX([15]第３表!$F$80:$Q$136,MATCH([15]設定!$D30,[15]第３表!$C$80:$C$136,0),6),[15]設定!$H30))</f>
        <v>158</v>
      </c>
      <c r="K16" s="54">
        <f>IF($D16="","",IF([15]設定!$H30="",INDEX([15]第３表!$F$80:$Q$136,MATCH([15]設定!$D30,[15]第３表!$C$80:$C$136,0),7),[15]設定!$H30))</f>
        <v>149.19999999999999</v>
      </c>
      <c r="L16" s="55">
        <f>IF($D16="","",IF([15]設定!$H30="",INDEX([15]第３表!$F$80:$Q$136,MATCH([15]設定!$D30,[15]第３表!$C$80:$C$136,0),8),[15]設定!$H30))</f>
        <v>8.8000000000000007</v>
      </c>
      <c r="M16" s="56">
        <f>IF($D16="","",IF([15]設定!$H30="",INDEX([15]第３表!$F$80:$Q$136,MATCH([15]設定!$D30,[15]第３表!$C$80:$C$136,0),9),[15]設定!$H30))</f>
        <v>20.3</v>
      </c>
      <c r="N16" s="56">
        <f>IF($D16="","",IF([15]設定!$H30="",INDEX([15]第３表!$F$80:$Q$136,MATCH([15]設定!$D30,[15]第３表!$C$80:$C$136,0),10),[15]設定!$H30))</f>
        <v>151.80000000000001</v>
      </c>
      <c r="O16" s="56">
        <f>IF($D16="","",IF([15]設定!$H30="",INDEX([15]第３表!$F$80:$Q$136,MATCH([15]設定!$D30,[15]第３表!$C$80:$C$136,0),11),[15]設定!$H30))</f>
        <v>148.9</v>
      </c>
      <c r="P16" s="57">
        <f>IF($D16="","",IF([15]設定!$H30="",INDEX([15]第３表!$F$80:$Q$136,MATCH([15]設定!$D30,[15]第３表!$C$80:$C$136,0),12),[15]設定!$H30))</f>
        <v>2.9</v>
      </c>
    </row>
    <row r="17" spans="2:16" s="8" customFormat="1" ht="17.25" customHeight="1" x14ac:dyDescent="0.45">
      <c r="B17" s="49" t="str">
        <f>+[16]第５表!B17</f>
        <v>K</v>
      </c>
      <c r="C17" s="50"/>
      <c r="D17" s="51" t="str">
        <f>+[16]第５表!D17</f>
        <v>不動産業，物品賃貸業</v>
      </c>
      <c r="E17" s="52">
        <f>IF($D17="","",IF([15]設定!$H31="",INDEX([15]第３表!$F$80:$Q$136,MATCH([15]設定!$D31,[15]第３表!$C$80:$C$136,0),1),[15]設定!$H31))</f>
        <v>17.399999999999999</v>
      </c>
      <c r="F17" s="52">
        <f>IF($D17="","",IF([15]設定!$H31="",INDEX([15]第３表!$F$80:$Q$136,MATCH([15]設定!$D31,[15]第３表!$C$80:$C$136,0),2),[15]設定!$H31))</f>
        <v>122.8</v>
      </c>
      <c r="G17" s="52">
        <f>IF($D17="","",IF([15]設定!$H31="",INDEX([15]第３表!$F$80:$Q$136,MATCH([15]設定!$D31,[15]第３表!$C$80:$C$136,0),3),[15]設定!$H31))</f>
        <v>119.9</v>
      </c>
      <c r="H17" s="52">
        <f>IF($D17="","",IF([15]設定!$H31="",INDEX([15]第３表!$F$80:$Q$136,MATCH([15]設定!$D31,[15]第３表!$C$80:$C$136,0),4),[15]設定!$H31))</f>
        <v>2.9</v>
      </c>
      <c r="I17" s="54">
        <f>IF($D17="","",IF([15]設定!$H31="",INDEX([15]第３表!$F$80:$Q$136,MATCH([15]設定!$D31,[15]第３表!$C$80:$C$136,0),5),[15]設定!$H31))</f>
        <v>18.399999999999999</v>
      </c>
      <c r="J17" s="54">
        <f>IF($D17="","",IF([15]設定!$H31="",INDEX([15]第３表!$F$80:$Q$136,MATCH([15]設定!$D31,[15]第３表!$C$80:$C$136,0),6),[15]設定!$H31))</f>
        <v>137.30000000000001</v>
      </c>
      <c r="K17" s="54">
        <f>IF($D17="","",IF([15]設定!$H31="",INDEX([15]第３表!$F$80:$Q$136,MATCH([15]設定!$D31,[15]第３表!$C$80:$C$136,0),7),[15]設定!$H31))</f>
        <v>132.9</v>
      </c>
      <c r="L17" s="55">
        <f>IF($D17="","",IF([15]設定!$H31="",INDEX([15]第３表!$F$80:$Q$136,MATCH([15]設定!$D31,[15]第３表!$C$80:$C$136,0),8),[15]設定!$H31))</f>
        <v>4.4000000000000004</v>
      </c>
      <c r="M17" s="56">
        <f>IF($D17="","",IF([15]設定!$H31="",INDEX([15]第３表!$F$80:$Q$136,MATCH([15]設定!$D31,[15]第３表!$C$80:$C$136,0),9),[15]設定!$H31))</f>
        <v>15.6</v>
      </c>
      <c r="N17" s="56">
        <f>IF($D17="","",IF([15]設定!$H31="",INDEX([15]第３表!$F$80:$Q$136,MATCH([15]設定!$D31,[15]第３表!$C$80:$C$136,0),10),[15]設定!$H31))</f>
        <v>98.8</v>
      </c>
      <c r="O17" s="56">
        <f>IF($D17="","",IF([15]設定!$H31="",INDEX([15]第３表!$F$80:$Q$136,MATCH([15]設定!$D31,[15]第３表!$C$80:$C$136,0),11),[15]設定!$H31))</f>
        <v>98.2</v>
      </c>
      <c r="P17" s="57">
        <f>IF($D17="","",IF([15]設定!$H31="",INDEX([15]第３表!$F$80:$Q$136,MATCH([15]設定!$D31,[15]第３表!$C$80:$C$136,0),12),[15]設定!$H31))</f>
        <v>0.6</v>
      </c>
    </row>
    <row r="18" spans="2:16" s="8" customFormat="1" ht="17.25" customHeight="1" x14ac:dyDescent="0.45">
      <c r="B18" s="49" t="str">
        <f>+[16]第５表!B18</f>
        <v>L</v>
      </c>
      <c r="C18" s="50"/>
      <c r="D18" s="59" t="str">
        <f>+[16]第５表!D18</f>
        <v>学術研究，専門・技術サービス業</v>
      </c>
      <c r="E18" s="52">
        <f>IF($D18="","",IF([15]設定!$H32="",INDEX([15]第３表!$F$80:$Q$136,MATCH([15]設定!$D32,[15]第３表!$C$80:$C$136,0),1),[15]設定!$H32))</f>
        <v>18.899999999999999</v>
      </c>
      <c r="F18" s="52">
        <f>IF($D18="","",IF([15]設定!$H32="",INDEX([15]第３表!$F$80:$Q$136,MATCH([15]設定!$D32,[15]第３表!$C$80:$C$136,0),2),[15]設定!$H32))</f>
        <v>143.9</v>
      </c>
      <c r="G18" s="52">
        <f>IF($D18="","",IF([15]設定!$H32="",INDEX([15]第３表!$F$80:$Q$136,MATCH([15]設定!$D32,[15]第３表!$C$80:$C$136,0),3),[15]設定!$H32))</f>
        <v>138.1</v>
      </c>
      <c r="H18" s="53">
        <f>IF($D18="","",IF([15]設定!$H32="",INDEX([15]第３表!$F$80:$Q$136,MATCH([15]設定!$D32,[15]第３表!$C$80:$C$136,0),4),[15]設定!$H32))</f>
        <v>5.8</v>
      </c>
      <c r="I18" s="54">
        <f>IF($D18="","",IF([15]設定!$H32="",INDEX([15]第３表!$F$80:$Q$136,MATCH([15]設定!$D32,[15]第３表!$C$80:$C$136,0),5),[15]設定!$H32))</f>
        <v>19</v>
      </c>
      <c r="J18" s="54">
        <f>IF($D18="","",IF([15]設定!$H32="",INDEX([15]第３表!$F$80:$Q$136,MATCH([15]設定!$D32,[15]第３表!$C$80:$C$136,0),6),[15]設定!$H32))</f>
        <v>153.30000000000001</v>
      </c>
      <c r="K18" s="54">
        <f>IF($D18="","",IF([15]設定!$H32="",INDEX([15]第３表!$F$80:$Q$136,MATCH([15]設定!$D32,[15]第３表!$C$80:$C$136,0),7),[15]設定!$H32))</f>
        <v>146.4</v>
      </c>
      <c r="L18" s="55">
        <f>IF($D18="","",IF([15]設定!$H32="",INDEX([15]第３表!$F$80:$Q$136,MATCH([15]設定!$D32,[15]第３表!$C$80:$C$136,0),8),[15]設定!$H32))</f>
        <v>6.9</v>
      </c>
      <c r="M18" s="56">
        <f>IF($D18="","",IF([15]設定!$H32="",INDEX([15]第３表!$F$80:$Q$136,MATCH([15]設定!$D32,[15]第３表!$C$80:$C$136,0),9),[15]設定!$H32))</f>
        <v>18.600000000000001</v>
      </c>
      <c r="N18" s="56">
        <f>IF($D18="","",IF([15]設定!$H32="",INDEX([15]第３表!$F$80:$Q$136,MATCH([15]設定!$D32,[15]第３表!$C$80:$C$136,0),10),[15]設定!$H32))</f>
        <v>127.6</v>
      </c>
      <c r="O18" s="56">
        <f>IF($D18="","",IF([15]設定!$H32="",INDEX([15]第３表!$F$80:$Q$136,MATCH([15]設定!$D32,[15]第３表!$C$80:$C$136,0),11),[15]設定!$H32))</f>
        <v>123.6</v>
      </c>
      <c r="P18" s="57">
        <f>IF($D18="","",IF([15]設定!$H32="",INDEX([15]第３表!$F$80:$Q$136,MATCH([15]設定!$D32,[15]第３表!$C$80:$C$136,0),12),[15]設定!$H32))</f>
        <v>4</v>
      </c>
    </row>
    <row r="19" spans="2:16" s="8" customFormat="1" ht="17.25" customHeight="1" x14ac:dyDescent="0.45">
      <c r="B19" s="49" t="str">
        <f>+[16]第５表!B19</f>
        <v>M</v>
      </c>
      <c r="C19" s="50"/>
      <c r="D19" s="60" t="str">
        <f>+[16]第５表!D19</f>
        <v>宿泊業，飲食サービス業</v>
      </c>
      <c r="E19" s="52">
        <f>IF($D19="","",IF([15]設定!$H33="",INDEX([15]第３表!$F$80:$Q$136,MATCH([15]設定!$D33,[15]第３表!$C$80:$C$136,0),1),[15]設定!$H33))</f>
        <v>14.6</v>
      </c>
      <c r="F19" s="52">
        <f>IF($D19="","",IF([15]設定!$H33="",INDEX([15]第３表!$F$80:$Q$136,MATCH([15]設定!$D33,[15]第３表!$C$80:$C$136,0),2),[15]設定!$H33))</f>
        <v>84.1</v>
      </c>
      <c r="G19" s="52">
        <f>IF($D19="","",IF([15]設定!$H33="",INDEX([15]第３表!$F$80:$Q$136,MATCH([15]設定!$D33,[15]第３表!$C$80:$C$136,0),3),[15]設定!$H33))</f>
        <v>80.400000000000006</v>
      </c>
      <c r="H19" s="53">
        <f>IF($D19="","",IF([15]設定!$H33="",INDEX([15]第３表!$F$80:$Q$136,MATCH([15]設定!$D33,[15]第３表!$C$80:$C$136,0),4),[15]設定!$H33))</f>
        <v>3.7</v>
      </c>
      <c r="I19" s="54">
        <f>IF($D19="","",IF([15]設定!$H33="",INDEX([15]第３表!$F$80:$Q$136,MATCH([15]設定!$D33,[15]第３表!$C$80:$C$136,0),5),[15]設定!$H33))</f>
        <v>16.7</v>
      </c>
      <c r="J19" s="54">
        <f>IF($D19="","",IF([15]設定!$H33="",INDEX([15]第３表!$F$80:$Q$136,MATCH([15]設定!$D33,[15]第３表!$C$80:$C$136,0),6),[15]設定!$H33))</f>
        <v>102.3</v>
      </c>
      <c r="K19" s="54">
        <f>IF($D19="","",IF([15]設定!$H33="",INDEX([15]第３表!$F$80:$Q$136,MATCH([15]設定!$D33,[15]第３表!$C$80:$C$136,0),7),[15]設定!$H33))</f>
        <v>94.5</v>
      </c>
      <c r="L19" s="55">
        <f>IF($D19="","",IF([15]設定!$H33="",INDEX([15]第３表!$F$80:$Q$136,MATCH([15]設定!$D33,[15]第３表!$C$80:$C$136,0),8),[15]設定!$H33))</f>
        <v>7.8</v>
      </c>
      <c r="M19" s="56">
        <f>IF($D19="","",IF([15]設定!$H33="",INDEX([15]第３表!$F$80:$Q$136,MATCH([15]設定!$D33,[15]第３表!$C$80:$C$136,0),9),[15]設定!$H33))</f>
        <v>13.3</v>
      </c>
      <c r="N19" s="56">
        <f>IF($D19="","",IF([15]設定!$H33="",INDEX([15]第３表!$F$80:$Q$136,MATCH([15]設定!$D33,[15]第３表!$C$80:$C$136,0),10),[15]設定!$H33))</f>
        <v>73.3</v>
      </c>
      <c r="O19" s="56">
        <f>IF($D19="","",IF([15]設定!$H33="",INDEX([15]第３表!$F$80:$Q$136,MATCH([15]設定!$D33,[15]第３表!$C$80:$C$136,0),11),[15]設定!$H33))</f>
        <v>72.099999999999994</v>
      </c>
      <c r="P19" s="57">
        <f>IF($D19="","",IF([15]設定!$H33="",INDEX([15]第３表!$F$80:$Q$136,MATCH([15]設定!$D33,[15]第３表!$C$80:$C$136,0),12),[15]設定!$H33))</f>
        <v>1.2</v>
      </c>
    </row>
    <row r="20" spans="2:16" s="8" customFormat="1" ht="17.25" customHeight="1" x14ac:dyDescent="0.45">
      <c r="B20" s="49" t="str">
        <f>+[16]第５表!B20</f>
        <v>N</v>
      </c>
      <c r="C20" s="50"/>
      <c r="D20" s="61" t="str">
        <f>+[16]第５表!D20</f>
        <v>生活関連サービス業，娯楽業</v>
      </c>
      <c r="E20" s="52">
        <f>IF($D20="","",IF([15]設定!$H34="",INDEX([15]第３表!$F$80:$Q$136,MATCH([15]設定!$D34,[15]第３表!$C$80:$C$136,0),1),[15]設定!$H34))</f>
        <v>17.7</v>
      </c>
      <c r="F20" s="52">
        <f>IF($D20="","",IF([15]設定!$H34="",INDEX([15]第３表!$F$80:$Q$136,MATCH([15]設定!$D34,[15]第３表!$C$80:$C$136,0),2),[15]設定!$H34))</f>
        <v>141.30000000000001</v>
      </c>
      <c r="G20" s="52">
        <f>IF($D20="","",IF([15]設定!$H34="",INDEX([15]第３表!$F$80:$Q$136,MATCH([15]設定!$D34,[15]第３表!$C$80:$C$136,0),3),[15]設定!$H34))</f>
        <v>128.1</v>
      </c>
      <c r="H20" s="53">
        <f>IF($D20="","",IF([15]設定!$H34="",INDEX([15]第３表!$F$80:$Q$136,MATCH([15]設定!$D34,[15]第３表!$C$80:$C$136,0),4),[15]設定!$H34))</f>
        <v>13.2</v>
      </c>
      <c r="I20" s="54">
        <f>IF($D20="","",IF([15]設定!$H34="",INDEX([15]第３表!$F$80:$Q$136,MATCH([15]設定!$D34,[15]第３表!$C$80:$C$136,0),5),[15]設定!$H34))</f>
        <v>17.8</v>
      </c>
      <c r="J20" s="54">
        <f>IF($D20="","",IF([15]設定!$H34="",INDEX([15]第３表!$F$80:$Q$136,MATCH([15]設定!$D34,[15]第３表!$C$80:$C$136,0),6),[15]設定!$H34))</f>
        <v>148.19999999999999</v>
      </c>
      <c r="K20" s="54">
        <f>IF($D20="","",IF([15]設定!$H34="",INDEX([15]第３表!$F$80:$Q$136,MATCH([15]設定!$D34,[15]第３表!$C$80:$C$136,0),7),[15]設定!$H34))</f>
        <v>134.30000000000001</v>
      </c>
      <c r="L20" s="55">
        <f>IF($D20="","",IF([15]設定!$H34="",INDEX([15]第３表!$F$80:$Q$136,MATCH([15]設定!$D34,[15]第３表!$C$80:$C$136,0),8),[15]設定!$H34))</f>
        <v>13.9</v>
      </c>
      <c r="M20" s="56">
        <f>IF($D20="","",IF([15]設定!$H34="",INDEX([15]第３表!$F$80:$Q$136,MATCH([15]設定!$D34,[15]第３表!$C$80:$C$136,0),9),[15]設定!$H34))</f>
        <v>17.600000000000001</v>
      </c>
      <c r="N20" s="56">
        <f>IF($D20="","",IF([15]設定!$H34="",INDEX([15]第３表!$F$80:$Q$136,MATCH([15]設定!$D34,[15]第３表!$C$80:$C$136,0),10),[15]設定!$H34))</f>
        <v>132.4</v>
      </c>
      <c r="O20" s="56">
        <f>IF($D20="","",IF([15]設定!$H34="",INDEX([15]第３表!$F$80:$Q$136,MATCH([15]設定!$D34,[15]第３表!$C$80:$C$136,0),11),[15]設定!$H34))</f>
        <v>120.1</v>
      </c>
      <c r="P20" s="57">
        <f>IF($D20="","",IF([15]設定!$H34="",INDEX([15]第３表!$F$80:$Q$136,MATCH([15]設定!$D34,[15]第３表!$C$80:$C$136,0),12),[15]設定!$H34))</f>
        <v>12.3</v>
      </c>
    </row>
    <row r="21" spans="2:16" s="8" customFormat="1" ht="17.25" customHeight="1" x14ac:dyDescent="0.45">
      <c r="B21" s="49" t="str">
        <f>+[16]第５表!B21</f>
        <v>O</v>
      </c>
      <c r="C21" s="50"/>
      <c r="D21" s="51" t="str">
        <f>+[16]第５表!D21</f>
        <v>教育，学習支援業</v>
      </c>
      <c r="E21" s="52">
        <f>IF($D21="","",IF([15]設定!$H35="",INDEX([15]第３表!$F$80:$Q$136,MATCH([15]設定!$D35,[15]第３表!$C$80:$C$136,0),1),[15]設定!$H35))</f>
        <v>12.9</v>
      </c>
      <c r="F21" s="52">
        <f>IF($D21="","",IF([15]設定!$H35="",INDEX([15]第３表!$F$80:$Q$136,MATCH([15]設定!$D35,[15]第３表!$C$80:$C$136,0),2),[15]設定!$H35))</f>
        <v>106.4</v>
      </c>
      <c r="G21" s="52">
        <f>IF($D21="","",IF([15]設定!$H35="",INDEX([15]第３表!$F$80:$Q$136,MATCH([15]設定!$D35,[15]第３表!$C$80:$C$136,0),3),[15]設定!$H35))</f>
        <v>95.8</v>
      </c>
      <c r="H21" s="53">
        <f>IF($D21="","",IF([15]設定!$H35="",INDEX([15]第３表!$F$80:$Q$136,MATCH([15]設定!$D35,[15]第３表!$C$80:$C$136,0),4),[15]設定!$H35))</f>
        <v>10.6</v>
      </c>
      <c r="I21" s="54">
        <f>IF($D21="","",IF([15]設定!$H35="",INDEX([15]第３表!$F$80:$Q$136,MATCH([15]設定!$D35,[15]第３表!$C$80:$C$136,0),5),[15]設定!$H35))</f>
        <v>13.8</v>
      </c>
      <c r="J21" s="54">
        <f>IF($D21="","",IF([15]設定!$H35="",INDEX([15]第３表!$F$80:$Q$136,MATCH([15]設定!$D35,[15]第３表!$C$80:$C$136,0),6),[15]設定!$H35))</f>
        <v>117.7</v>
      </c>
      <c r="K21" s="54">
        <f>IF($D21="","",IF([15]設定!$H35="",INDEX([15]第３表!$F$80:$Q$136,MATCH([15]設定!$D35,[15]第３表!$C$80:$C$136,0),7),[15]設定!$H35))</f>
        <v>103.1</v>
      </c>
      <c r="L21" s="55">
        <f>IF($D21="","",IF([15]設定!$H35="",INDEX([15]第３表!$F$80:$Q$136,MATCH([15]設定!$D35,[15]第３表!$C$80:$C$136,0),8),[15]設定!$H35))</f>
        <v>14.6</v>
      </c>
      <c r="M21" s="56">
        <f>IF($D21="","",IF([15]設定!$H35="",INDEX([15]第３表!$F$80:$Q$136,MATCH([15]設定!$D35,[15]第３表!$C$80:$C$136,0),9),[15]設定!$H35))</f>
        <v>12.1</v>
      </c>
      <c r="N21" s="56">
        <f>IF($D21="","",IF([15]設定!$H35="",INDEX([15]第３表!$F$80:$Q$136,MATCH([15]設定!$D35,[15]第３表!$C$80:$C$136,0),10),[15]設定!$H35))</f>
        <v>97.1</v>
      </c>
      <c r="O21" s="56">
        <f>IF($D21="","",IF([15]設定!$H35="",INDEX([15]第３表!$F$80:$Q$136,MATCH([15]設定!$D35,[15]第３表!$C$80:$C$136,0),11),[15]設定!$H35))</f>
        <v>89.9</v>
      </c>
      <c r="P21" s="57">
        <f>IF($D21="","",IF([15]設定!$H35="",INDEX([15]第３表!$F$80:$Q$136,MATCH([15]設定!$D35,[15]第３表!$C$80:$C$136,0),12),[15]設定!$H35))</f>
        <v>7.2</v>
      </c>
    </row>
    <row r="22" spans="2:16" s="8" customFormat="1" ht="17.25" customHeight="1" x14ac:dyDescent="0.45">
      <c r="B22" s="49" t="str">
        <f>+[16]第５表!B22</f>
        <v>P</v>
      </c>
      <c r="C22" s="50"/>
      <c r="D22" s="51" t="str">
        <f>+[16]第５表!D22</f>
        <v>医療，福祉</v>
      </c>
      <c r="E22" s="52">
        <f>IF($D22="","",IF([15]設定!$H36="",INDEX([15]第３表!$F$80:$Q$136,MATCH([15]設定!$D36,[15]第３表!$C$80:$C$136,0),1),[15]設定!$H36))</f>
        <v>18.7</v>
      </c>
      <c r="F22" s="52">
        <f>IF($D22="","",IF([15]設定!$H36="",INDEX([15]第３表!$F$80:$Q$136,MATCH([15]設定!$D36,[15]第３表!$C$80:$C$136,0),2),[15]設定!$H36))</f>
        <v>138.80000000000001</v>
      </c>
      <c r="G22" s="52">
        <f>IF($D22="","",IF([15]設定!$H36="",INDEX([15]第３表!$F$80:$Q$136,MATCH([15]設定!$D36,[15]第３表!$C$80:$C$136,0),3),[15]設定!$H36))</f>
        <v>134.30000000000001</v>
      </c>
      <c r="H22" s="53">
        <f>IF($D22="","",IF([15]設定!$H36="",INDEX([15]第３表!$F$80:$Q$136,MATCH([15]設定!$D36,[15]第３表!$C$80:$C$136,0),4),[15]設定!$H36))</f>
        <v>4.5</v>
      </c>
      <c r="I22" s="54">
        <f>IF($D22="","",IF([15]設定!$H36="",INDEX([15]第３表!$F$80:$Q$136,MATCH([15]設定!$D36,[15]第３表!$C$80:$C$136,0),5),[15]設定!$H36))</f>
        <v>19.899999999999999</v>
      </c>
      <c r="J22" s="54">
        <f>IF($D22="","",IF([15]設定!$H36="",INDEX([15]第３表!$F$80:$Q$136,MATCH([15]設定!$D36,[15]第３表!$C$80:$C$136,0),6),[15]設定!$H36))</f>
        <v>151.30000000000001</v>
      </c>
      <c r="K22" s="54">
        <f>IF($D22="","",IF([15]設定!$H36="",INDEX([15]第３表!$F$80:$Q$136,MATCH([15]設定!$D36,[15]第３表!$C$80:$C$136,0),7),[15]設定!$H36))</f>
        <v>147</v>
      </c>
      <c r="L22" s="55">
        <f>IF($D22="","",IF([15]設定!$H36="",INDEX([15]第３表!$F$80:$Q$136,MATCH([15]設定!$D36,[15]第３表!$C$80:$C$136,0),8),[15]設定!$H36))</f>
        <v>4.3</v>
      </c>
      <c r="M22" s="56">
        <f>IF($D22="","",IF([15]設定!$H36="",INDEX([15]第３表!$F$80:$Q$136,MATCH([15]設定!$D36,[15]第３表!$C$80:$C$136,0),9),[15]設定!$H36))</f>
        <v>18.399999999999999</v>
      </c>
      <c r="N22" s="56">
        <f>IF($D22="","",IF([15]設定!$H36="",INDEX([15]第３表!$F$80:$Q$136,MATCH([15]設定!$D36,[15]第３表!$C$80:$C$136,0),10),[15]設定!$H36))</f>
        <v>135</v>
      </c>
      <c r="O22" s="56">
        <f>IF($D22="","",IF([15]設定!$H36="",INDEX([15]第３表!$F$80:$Q$136,MATCH([15]設定!$D36,[15]第３表!$C$80:$C$136,0),11),[15]設定!$H36))</f>
        <v>130.4</v>
      </c>
      <c r="P22" s="57">
        <f>IF($D22="","",IF([15]設定!$H36="",INDEX([15]第３表!$F$80:$Q$136,MATCH([15]設定!$D36,[15]第３表!$C$80:$C$136,0),12),[15]設定!$H36))</f>
        <v>4.5999999999999996</v>
      </c>
    </row>
    <row r="23" spans="2:16" s="8" customFormat="1" ht="17.25" customHeight="1" x14ac:dyDescent="0.45">
      <c r="B23" s="49" t="str">
        <f>+[16]第５表!B23</f>
        <v>Q</v>
      </c>
      <c r="C23" s="50"/>
      <c r="D23" s="51" t="str">
        <f>+[16]第５表!D23</f>
        <v>複合サービス事業</v>
      </c>
      <c r="E23" s="52">
        <f>IF($D23="","",IF([15]設定!$H37="",INDEX([15]第３表!$F$80:$Q$136,MATCH([15]設定!$D37,[15]第３表!$C$80:$C$136,0),1),[15]設定!$H37))</f>
        <v>19.600000000000001</v>
      </c>
      <c r="F23" s="52">
        <f>IF($D23="","",IF([15]設定!$H37="",INDEX([15]第３表!$F$80:$Q$136,MATCH([15]設定!$D37,[15]第３表!$C$80:$C$136,0),2),[15]設定!$H37))</f>
        <v>151</v>
      </c>
      <c r="G23" s="52">
        <f>IF($D23="","",IF([15]設定!$H37="",INDEX([15]第３表!$F$80:$Q$136,MATCH([15]設定!$D37,[15]第３表!$C$80:$C$136,0),3),[15]設定!$H37))</f>
        <v>146.4</v>
      </c>
      <c r="H23" s="53">
        <f>IF($D23="","",IF([15]設定!$H37="",INDEX([15]第３表!$F$80:$Q$136,MATCH([15]設定!$D37,[15]第３表!$C$80:$C$136,0),4),[15]設定!$H37))</f>
        <v>4.5999999999999996</v>
      </c>
      <c r="I23" s="54">
        <f>IF($D23="","",IF([15]設定!$H37="",INDEX([15]第３表!$F$80:$Q$136,MATCH([15]設定!$D37,[15]第３表!$C$80:$C$136,0),5),[15]設定!$H37))</f>
        <v>19.899999999999999</v>
      </c>
      <c r="J23" s="54">
        <f>IF($D23="","",IF([15]設定!$H37="",INDEX([15]第３表!$F$80:$Q$136,MATCH([15]設定!$D37,[15]第３表!$C$80:$C$136,0),6),[15]設定!$H37))</f>
        <v>157.69999999999999</v>
      </c>
      <c r="K23" s="54">
        <f>IF($D23="","",IF([15]設定!$H37="",INDEX([15]第３表!$F$80:$Q$136,MATCH([15]設定!$D37,[15]第３表!$C$80:$C$136,0),7),[15]設定!$H37))</f>
        <v>152.30000000000001</v>
      </c>
      <c r="L23" s="55">
        <f>IF($D23="","",IF([15]設定!$H37="",INDEX([15]第３表!$F$80:$Q$136,MATCH([15]設定!$D37,[15]第３表!$C$80:$C$136,0),8),[15]設定!$H37))</f>
        <v>5.4</v>
      </c>
      <c r="M23" s="56">
        <f>IF($D23="","",IF([15]設定!$H37="",INDEX([15]第３表!$F$80:$Q$136,MATCH([15]設定!$D37,[15]第３表!$C$80:$C$136,0),9),[15]設定!$H37))</f>
        <v>19.2</v>
      </c>
      <c r="N23" s="56">
        <f>IF($D23="","",IF([15]設定!$H37="",INDEX([15]第３表!$F$80:$Q$136,MATCH([15]設定!$D37,[15]第３表!$C$80:$C$136,0),10),[15]設定!$H37))</f>
        <v>139</v>
      </c>
      <c r="O23" s="56">
        <f>IF($D23="","",IF([15]設定!$H37="",INDEX([15]第３表!$F$80:$Q$136,MATCH([15]設定!$D37,[15]第３表!$C$80:$C$136,0),11),[15]設定!$H37))</f>
        <v>135.9</v>
      </c>
      <c r="P23" s="57">
        <f>IF($D23="","",IF([15]設定!$H37="",INDEX([15]第３表!$F$80:$Q$136,MATCH([15]設定!$D37,[15]第３表!$C$80:$C$136,0),12),[15]設定!$H37))</f>
        <v>3.1</v>
      </c>
    </row>
    <row r="24" spans="2:16" s="8" customFormat="1" ht="17.25" customHeight="1" x14ac:dyDescent="0.45">
      <c r="B24" s="49" t="str">
        <f>+[16]第５表!B24</f>
        <v>R</v>
      </c>
      <c r="C24" s="50"/>
      <c r="D24" s="62" t="str">
        <f>+[16]第５表!D24</f>
        <v>サービス業（他に分類されないもの）</v>
      </c>
      <c r="E24" s="52">
        <f>IF($D24="","",IF([15]設定!$H38="",INDEX([15]第３表!$F$80:$Q$136,MATCH([15]設定!$D38,[15]第３表!$C$80:$C$136,0),1),[15]設定!$H38))</f>
        <v>18.899999999999999</v>
      </c>
      <c r="F24" s="52">
        <f>IF($D24="","",IF([15]設定!$H38="",INDEX([15]第３表!$F$80:$Q$136,MATCH([15]設定!$D38,[15]第３表!$C$80:$C$136,0),2),[15]設定!$H38))</f>
        <v>143</v>
      </c>
      <c r="G24" s="52">
        <f>IF($D24="","",IF([15]設定!$H38="",INDEX([15]第３表!$F$80:$Q$136,MATCH([15]設定!$D38,[15]第３表!$C$80:$C$136,0),3),[15]設定!$H38))</f>
        <v>135.1</v>
      </c>
      <c r="H24" s="53">
        <f>IF($D24="","",IF([15]設定!$H38="",INDEX([15]第３表!$F$80:$Q$136,MATCH([15]設定!$D38,[15]第３表!$C$80:$C$136,0),4),[15]設定!$H38))</f>
        <v>7.9</v>
      </c>
      <c r="I24" s="54">
        <f>IF($D24="","",IF([15]設定!$H38="",INDEX([15]第３表!$F$80:$Q$136,MATCH([15]設定!$D38,[15]第３表!$C$80:$C$136,0),5),[15]設定!$H38))</f>
        <v>19.2</v>
      </c>
      <c r="J24" s="54">
        <f>IF($D24="","",IF([15]設定!$H38="",INDEX([15]第３表!$F$80:$Q$136,MATCH([15]設定!$D38,[15]第３表!$C$80:$C$136,0),6),[15]設定!$H38))</f>
        <v>155.5</v>
      </c>
      <c r="K24" s="54">
        <f>IF($D24="","",IF([15]設定!$H38="",INDEX([15]第３表!$F$80:$Q$136,MATCH([15]設定!$D38,[15]第３表!$C$80:$C$136,0),7),[15]設定!$H38))</f>
        <v>144.5</v>
      </c>
      <c r="L24" s="55">
        <f>IF($D24="","",IF([15]設定!$H38="",INDEX([15]第３表!$F$80:$Q$136,MATCH([15]設定!$D38,[15]第３表!$C$80:$C$136,0),8),[15]設定!$H38))</f>
        <v>11</v>
      </c>
      <c r="M24" s="56">
        <f>IF($D24="","",IF([15]設定!$H38="",INDEX([15]第３表!$F$80:$Q$136,MATCH([15]設定!$D38,[15]第３表!$C$80:$C$136,0),9),[15]設定!$H38))</f>
        <v>18.7</v>
      </c>
      <c r="N24" s="56">
        <f>IF($D24="","",IF([15]設定!$H38="",INDEX([15]第３表!$F$80:$Q$136,MATCH([15]設定!$D38,[15]第３表!$C$80:$C$136,0),10),[15]設定!$H38))</f>
        <v>127.7</v>
      </c>
      <c r="O24" s="56">
        <f>IF($D24="","",IF([15]設定!$H38="",INDEX([15]第３表!$F$80:$Q$136,MATCH([15]設定!$D38,[15]第３表!$C$80:$C$136,0),11),[15]設定!$H38))</f>
        <v>123.6</v>
      </c>
      <c r="P24" s="57">
        <f>IF($D24="","",IF([15]設定!$H38="",INDEX([15]第３表!$F$80:$Q$136,MATCH([15]設定!$D38,[15]第３表!$C$80:$C$136,0),12),[15]設定!$H38))</f>
        <v>4.0999999999999996</v>
      </c>
    </row>
    <row r="25" spans="2:16" s="8" customFormat="1" ht="17.25" customHeight="1" x14ac:dyDescent="0.45">
      <c r="B25" s="45" t="str">
        <f>+[16]第５表!B25</f>
        <v>E09,10</v>
      </c>
      <c r="C25" s="46"/>
      <c r="D25" s="63" t="str">
        <f>+[16]第５表!D25</f>
        <v>食料品・たばこ</v>
      </c>
      <c r="E25" s="48">
        <f>IF($D25="","",IF([15]設定!$H39="",INDEX([15]第３表!$F$80:$Q$136,MATCH([15]設定!$D39,[15]第３表!$C$80:$C$136,0),1),[15]設定!$H39))</f>
        <v>17.399999999999999</v>
      </c>
      <c r="F25" s="48">
        <f>IF($D25="","",IF([15]設定!$H39="",INDEX([15]第３表!$F$80:$Q$136,MATCH([15]設定!$D39,[15]第３表!$C$80:$C$136,0),2),[15]設定!$H39))</f>
        <v>138.5</v>
      </c>
      <c r="G25" s="48">
        <f>IF($D25="","",IF([15]設定!$H39="",INDEX([15]第３表!$F$80:$Q$136,MATCH([15]設定!$D39,[15]第３表!$C$80:$C$136,0),3),[15]設定!$H39))</f>
        <v>129.4</v>
      </c>
      <c r="H25" s="64">
        <f>IF($D25="","",IF([15]設定!$H39="",INDEX([15]第３表!$F$80:$Q$136,MATCH([15]設定!$D39,[15]第３表!$C$80:$C$136,0),4),[15]設定!$H39))</f>
        <v>9.1</v>
      </c>
      <c r="I25" s="48">
        <f>IF($D25="","",IF([15]設定!$H39="",INDEX([15]第３表!$F$80:$Q$136,MATCH([15]設定!$D39,[15]第３表!$C$80:$C$136,0),5),[15]設定!$H39))</f>
        <v>18.8</v>
      </c>
      <c r="J25" s="48">
        <f>IF($D25="","",IF([15]設定!$H39="",INDEX([15]第３表!$F$80:$Q$136,MATCH([15]設定!$D39,[15]第３表!$C$80:$C$136,0),6),[15]設定!$H39))</f>
        <v>155.9</v>
      </c>
      <c r="K25" s="48">
        <f>IF($D25="","",IF([15]設定!$H39="",INDEX([15]第３表!$F$80:$Q$136,MATCH([15]設定!$D39,[15]第３表!$C$80:$C$136,0),7),[15]設定!$H39))</f>
        <v>142.80000000000001</v>
      </c>
      <c r="L25" s="64">
        <f>IF($D25="","",IF([15]設定!$H39="",INDEX([15]第３表!$F$80:$Q$136,MATCH([15]設定!$D39,[15]第３表!$C$80:$C$136,0),8),[15]設定!$H39))</f>
        <v>13.1</v>
      </c>
      <c r="M25" s="48">
        <f>IF($D25="","",IF([15]設定!$H39="",INDEX([15]第３表!$F$80:$Q$136,MATCH([15]設定!$D39,[15]第３表!$C$80:$C$136,0),9),[15]設定!$H39))</f>
        <v>16.5</v>
      </c>
      <c r="N25" s="48">
        <f>IF($D25="","",IF([15]設定!$H39="",INDEX([15]第３表!$F$80:$Q$136,MATCH([15]設定!$D39,[15]第３表!$C$80:$C$136,0),10),[15]設定!$H39))</f>
        <v>126.8</v>
      </c>
      <c r="O25" s="48">
        <f>IF($D25="","",IF([15]設定!$H39="",INDEX([15]第３表!$F$80:$Q$136,MATCH([15]設定!$D39,[15]第３表!$C$80:$C$136,0),11),[15]設定!$H39))</f>
        <v>120.4</v>
      </c>
      <c r="P25" s="64">
        <f>IF($D25="","",IF([15]設定!$H39="",INDEX([15]第３表!$F$80:$Q$136,MATCH([15]設定!$D39,[15]第３表!$C$80:$C$136,0),12),[15]設定!$H39))</f>
        <v>6.4</v>
      </c>
    </row>
    <row r="26" spans="2:16" s="8" customFormat="1" ht="17.25" customHeight="1" x14ac:dyDescent="0.45">
      <c r="B26" s="49" t="str">
        <f>+[16]第５表!B26</f>
        <v>E11</v>
      </c>
      <c r="C26" s="50"/>
      <c r="D26" s="65" t="str">
        <f>+[16]第５表!D26</f>
        <v>繊維工業</v>
      </c>
      <c r="E26" s="52">
        <f>IF($D26="","",IF([15]設定!$H40="",INDEX([15]第３表!$F$80:$Q$136,MATCH([15]設定!$D40,[15]第３表!$C$80:$C$136,0),1),[15]設定!$H40))</f>
        <v>18.7</v>
      </c>
      <c r="F26" s="52">
        <f>IF($D26="","",IF([15]設定!$H40="",INDEX([15]第３表!$F$80:$Q$136,MATCH([15]設定!$D40,[15]第３表!$C$80:$C$136,0),2),[15]設定!$H40))</f>
        <v>153.69999999999999</v>
      </c>
      <c r="G26" s="52">
        <f>IF($D26="","",IF([15]設定!$H40="",INDEX([15]第３表!$F$80:$Q$136,MATCH([15]設定!$D40,[15]第３表!$C$80:$C$136,0),3),[15]設定!$H40))</f>
        <v>139.4</v>
      </c>
      <c r="H26" s="55">
        <f>IF($D26="","",IF([15]設定!$H40="",INDEX([15]第３表!$F$80:$Q$136,MATCH([15]設定!$D40,[15]第３表!$C$80:$C$136,0),4),[15]設定!$H40))</f>
        <v>14.3</v>
      </c>
      <c r="I26" s="52">
        <f>IF($D26="","",IF([15]設定!$H40="",INDEX([15]第３表!$F$80:$Q$136,MATCH([15]設定!$D40,[15]第３表!$C$80:$C$136,0),5),[15]設定!$H40))</f>
        <v>19.399999999999999</v>
      </c>
      <c r="J26" s="52">
        <f>IF($D26="","",IF([15]設定!$H40="",INDEX([15]第３表!$F$80:$Q$136,MATCH([15]設定!$D40,[15]第３表!$C$80:$C$136,0),6),[15]設定!$H40))</f>
        <v>158.69999999999999</v>
      </c>
      <c r="K26" s="52">
        <f>IF($D26="","",IF([15]設定!$H40="",INDEX([15]第３表!$F$80:$Q$136,MATCH([15]設定!$D40,[15]第３表!$C$80:$C$136,0),7),[15]設定!$H40))</f>
        <v>143.19999999999999</v>
      </c>
      <c r="L26" s="55">
        <f>IF($D26="","",IF([15]設定!$H40="",INDEX([15]第３表!$F$80:$Q$136,MATCH([15]設定!$D40,[15]第３表!$C$80:$C$136,0),8),[15]設定!$H40))</f>
        <v>15.5</v>
      </c>
      <c r="M26" s="52">
        <f>IF($D26="","",IF([15]設定!$H40="",INDEX([15]第３表!$F$80:$Q$136,MATCH([15]設定!$D40,[15]第３表!$C$80:$C$136,0),9),[15]設定!$H40))</f>
        <v>18.3</v>
      </c>
      <c r="N26" s="52">
        <f>IF($D26="","",IF([15]設定!$H40="",INDEX([15]第３表!$F$80:$Q$136,MATCH([15]設定!$D40,[15]第３表!$C$80:$C$136,0),10),[15]設定!$H40))</f>
        <v>150.80000000000001</v>
      </c>
      <c r="O26" s="52">
        <f>IF($D26="","",IF([15]設定!$H40="",INDEX([15]第３表!$F$80:$Q$136,MATCH([15]設定!$D40,[15]第３表!$C$80:$C$136,0),11),[15]設定!$H40))</f>
        <v>137.30000000000001</v>
      </c>
      <c r="P26" s="55">
        <f>IF($D26="","",IF([15]設定!$H40="",INDEX([15]第３表!$F$80:$Q$136,MATCH([15]設定!$D40,[15]第３表!$C$80:$C$136,0),12),[15]設定!$H40))</f>
        <v>13.5</v>
      </c>
    </row>
    <row r="27" spans="2:16" s="8" customFormat="1" ht="17.25" customHeight="1" x14ac:dyDescent="0.45">
      <c r="B27" s="49" t="str">
        <f>+[16]第５表!B27</f>
        <v>E12</v>
      </c>
      <c r="C27" s="50"/>
      <c r="D27" s="65" t="str">
        <f>+[16]第５表!D27</f>
        <v>木材・木製品</v>
      </c>
      <c r="E27" s="52">
        <f>IF($D27="","",IF([15]設定!$H41="",INDEX([15]第３表!$F$80:$Q$136,MATCH([15]設定!$D41,[15]第３表!$C$80:$C$136,0),1),[15]設定!$H41))</f>
        <v>18.3</v>
      </c>
      <c r="F27" s="52">
        <f>IF($D27="","",IF([15]設定!$H41="",INDEX([15]第３表!$F$80:$Q$136,MATCH([15]設定!$D41,[15]第３表!$C$80:$C$136,0),2),[15]設定!$H41))</f>
        <v>145.1</v>
      </c>
      <c r="G27" s="52">
        <f>IF($D27="","",IF([15]設定!$H41="",INDEX([15]第３表!$F$80:$Q$136,MATCH([15]設定!$D41,[15]第３表!$C$80:$C$136,0),3),[15]設定!$H41))</f>
        <v>137.80000000000001</v>
      </c>
      <c r="H27" s="55">
        <f>IF($D27="","",IF([15]設定!$H41="",INDEX([15]第３表!$F$80:$Q$136,MATCH([15]設定!$D41,[15]第３表!$C$80:$C$136,0),4),[15]設定!$H41))</f>
        <v>7.3</v>
      </c>
      <c r="I27" s="52">
        <f>IF($D27="","",IF([15]設定!$H41="",INDEX([15]第３表!$F$80:$Q$136,MATCH([15]設定!$D41,[15]第３表!$C$80:$C$136,0),5),[15]設定!$H41))</f>
        <v>18.3</v>
      </c>
      <c r="J27" s="52">
        <f>IF($D27="","",IF([15]設定!$H41="",INDEX([15]第３表!$F$80:$Q$136,MATCH([15]設定!$D41,[15]第３表!$C$80:$C$136,0),6),[15]設定!$H41))</f>
        <v>149.9</v>
      </c>
      <c r="K27" s="52">
        <f>IF($D27="","",IF([15]設定!$H41="",INDEX([15]第３表!$F$80:$Q$136,MATCH([15]設定!$D41,[15]第３表!$C$80:$C$136,0),7),[15]設定!$H41))</f>
        <v>141.19999999999999</v>
      </c>
      <c r="L27" s="55">
        <f>IF($D27="","",IF([15]設定!$H41="",INDEX([15]第３表!$F$80:$Q$136,MATCH([15]設定!$D41,[15]第３表!$C$80:$C$136,0),8),[15]設定!$H41))</f>
        <v>8.6999999999999993</v>
      </c>
      <c r="M27" s="52">
        <f>IF($D27="","",IF([15]設定!$H41="",INDEX([15]第３表!$F$80:$Q$136,MATCH([15]設定!$D41,[15]第３表!$C$80:$C$136,0),9),[15]設定!$H41))</f>
        <v>18</v>
      </c>
      <c r="N27" s="52">
        <f>IF($D27="","",IF([15]設定!$H41="",INDEX([15]第３表!$F$80:$Q$136,MATCH([15]設定!$D41,[15]第３表!$C$80:$C$136,0),10),[15]設定!$H41))</f>
        <v>131</v>
      </c>
      <c r="O27" s="52">
        <f>IF($D27="","",IF([15]設定!$H41="",INDEX([15]第３表!$F$80:$Q$136,MATCH([15]設定!$D41,[15]第３表!$C$80:$C$136,0),11),[15]設定!$H41))</f>
        <v>127.7</v>
      </c>
      <c r="P27" s="55">
        <f>IF($D27="","",IF([15]設定!$H41="",INDEX([15]第３表!$F$80:$Q$136,MATCH([15]設定!$D41,[15]第３表!$C$80:$C$136,0),12),[15]設定!$H41))</f>
        <v>3.3</v>
      </c>
    </row>
    <row r="28" spans="2:16" s="8" customFormat="1" ht="17.25" customHeight="1" x14ac:dyDescent="0.45">
      <c r="B28" s="49" t="str">
        <f>+[16]第５表!B28</f>
        <v>E13</v>
      </c>
      <c r="C28" s="50"/>
      <c r="D28" s="65" t="str">
        <f>+[16]第５表!D28</f>
        <v>家具・装備品</v>
      </c>
      <c r="E28" s="52" t="str">
        <f>IF($D28="","",IF([15]設定!$H42="",INDEX([15]第３表!$F$80:$Q$136,MATCH([15]設定!$D42,[15]第３表!$C$80:$C$136,0),1),[15]設定!$H42))</f>
        <v>x</v>
      </c>
      <c r="F28" s="52" t="str">
        <f>IF($D28="","",IF([15]設定!$H42="",INDEX([15]第３表!$F$80:$Q$136,MATCH([15]設定!$D42,[15]第３表!$C$80:$C$136,0),2),[15]設定!$H42))</f>
        <v>x</v>
      </c>
      <c r="G28" s="52" t="str">
        <f>IF($D28="","",IF([15]設定!$H42="",INDEX([15]第３表!$F$80:$Q$136,MATCH([15]設定!$D42,[15]第３表!$C$80:$C$136,0),3),[15]設定!$H42))</f>
        <v>x</v>
      </c>
      <c r="H28" s="55" t="str">
        <f>IF($D28="","",IF([15]設定!$H42="",INDEX([15]第３表!$F$80:$Q$136,MATCH([15]設定!$D42,[15]第３表!$C$80:$C$136,0),4),[15]設定!$H42))</f>
        <v>x</v>
      </c>
      <c r="I28" s="52" t="str">
        <f>IF($D28="","",IF([15]設定!$H42="",INDEX([15]第３表!$F$80:$Q$136,MATCH([15]設定!$D42,[15]第３表!$C$80:$C$136,0),5),[15]設定!$H42))</f>
        <v>x</v>
      </c>
      <c r="J28" s="52" t="str">
        <f>IF($D28="","",IF([15]設定!$H42="",INDEX([15]第３表!$F$80:$Q$136,MATCH([15]設定!$D42,[15]第３表!$C$80:$C$136,0),6),[15]設定!$H42))</f>
        <v>x</v>
      </c>
      <c r="K28" s="52" t="str">
        <f>IF($D28="","",IF([15]設定!$H42="",INDEX([15]第３表!$F$80:$Q$136,MATCH([15]設定!$D42,[15]第３表!$C$80:$C$136,0),7),[15]設定!$H42))</f>
        <v>x</v>
      </c>
      <c r="L28" s="55" t="str">
        <f>IF($D28="","",IF([15]設定!$H42="",INDEX([15]第３表!$F$80:$Q$136,MATCH([15]設定!$D42,[15]第３表!$C$80:$C$136,0),8),[15]設定!$H42))</f>
        <v>x</v>
      </c>
      <c r="M28" s="52" t="str">
        <f>IF($D28="","",IF([15]設定!$H42="",INDEX([15]第３表!$F$80:$Q$136,MATCH([15]設定!$D42,[15]第３表!$C$80:$C$136,0),9),[15]設定!$H42))</f>
        <v>x</v>
      </c>
      <c r="N28" s="52" t="str">
        <f>IF($D28="","",IF([15]設定!$H42="",INDEX([15]第３表!$F$80:$Q$136,MATCH([15]設定!$D42,[15]第３表!$C$80:$C$136,0),10),[15]設定!$H42))</f>
        <v>x</v>
      </c>
      <c r="O28" s="52" t="str">
        <f>IF($D28="","",IF([15]設定!$H42="",INDEX([15]第３表!$F$80:$Q$136,MATCH([15]設定!$D42,[15]第３表!$C$80:$C$136,0),11),[15]設定!$H42))</f>
        <v>x</v>
      </c>
      <c r="P28" s="55" t="str">
        <f>IF($D28="","",IF([15]設定!$H42="",INDEX([15]第３表!$F$80:$Q$136,MATCH([15]設定!$D42,[15]第３表!$C$80:$C$136,0),12),[15]設定!$H42))</f>
        <v>x</v>
      </c>
    </row>
    <row r="29" spans="2:16" s="8" customFormat="1" ht="17.25" customHeight="1" x14ac:dyDescent="0.45">
      <c r="B29" s="49" t="str">
        <f>+[16]第５表!B29</f>
        <v>E15</v>
      </c>
      <c r="C29" s="50"/>
      <c r="D29" s="65" t="str">
        <f>+[16]第５表!D29</f>
        <v>印刷・同関連業</v>
      </c>
      <c r="E29" s="52">
        <f>IF($D29="","",IF([15]設定!$H43="",INDEX([15]第３表!$F$80:$Q$136,MATCH([15]設定!$D43,[15]第３表!$C$80:$C$136,0),1),[15]設定!$H43))</f>
        <v>20.399999999999999</v>
      </c>
      <c r="F29" s="52">
        <f>IF($D29="","",IF([15]設定!$H43="",INDEX([15]第３表!$F$80:$Q$136,MATCH([15]設定!$D43,[15]第３表!$C$80:$C$136,0),2),[15]設定!$H43))</f>
        <v>164</v>
      </c>
      <c r="G29" s="52">
        <f>IF($D29="","",IF([15]設定!$H43="",INDEX([15]第３表!$F$80:$Q$136,MATCH([15]設定!$D43,[15]第３表!$C$80:$C$136,0),3),[15]設定!$H43))</f>
        <v>157.30000000000001</v>
      </c>
      <c r="H29" s="55">
        <f>IF($D29="","",IF([15]設定!$H43="",INDEX([15]第３表!$F$80:$Q$136,MATCH([15]設定!$D43,[15]第３表!$C$80:$C$136,0),4),[15]設定!$H43))</f>
        <v>6.7</v>
      </c>
      <c r="I29" s="52">
        <f>IF($D29="","",IF([15]設定!$H43="",INDEX([15]第３表!$F$80:$Q$136,MATCH([15]設定!$D43,[15]第３表!$C$80:$C$136,0),5),[15]設定!$H43))</f>
        <v>20.399999999999999</v>
      </c>
      <c r="J29" s="52">
        <f>IF($D29="","",IF([15]設定!$H43="",INDEX([15]第３表!$F$80:$Q$136,MATCH([15]設定!$D43,[15]第３表!$C$80:$C$136,0),6),[15]設定!$H43))</f>
        <v>165.3</v>
      </c>
      <c r="K29" s="52">
        <f>IF($D29="","",IF([15]設定!$H43="",INDEX([15]第３表!$F$80:$Q$136,MATCH([15]設定!$D43,[15]第３表!$C$80:$C$136,0),7),[15]設定!$H43))</f>
        <v>156.9</v>
      </c>
      <c r="L29" s="55">
        <f>IF($D29="","",IF([15]設定!$H43="",INDEX([15]第３表!$F$80:$Q$136,MATCH([15]設定!$D43,[15]第３表!$C$80:$C$136,0),8),[15]設定!$H43))</f>
        <v>8.4</v>
      </c>
      <c r="M29" s="52">
        <f>IF($D29="","",IF([15]設定!$H43="",INDEX([15]第３表!$F$80:$Q$136,MATCH([15]設定!$D43,[15]第３表!$C$80:$C$136,0),9),[15]設定!$H43))</f>
        <v>20.399999999999999</v>
      </c>
      <c r="N29" s="52">
        <f>IF($D29="","",IF([15]設定!$H43="",INDEX([15]第３表!$F$80:$Q$136,MATCH([15]設定!$D43,[15]第３表!$C$80:$C$136,0),10),[15]設定!$H43))</f>
        <v>161</v>
      </c>
      <c r="O29" s="52">
        <f>IF($D29="","",IF([15]設定!$H43="",INDEX([15]第３表!$F$80:$Q$136,MATCH([15]設定!$D43,[15]第３表!$C$80:$C$136,0),11),[15]設定!$H43))</f>
        <v>158.30000000000001</v>
      </c>
      <c r="P29" s="55">
        <f>IF($D29="","",IF([15]設定!$H43="",INDEX([15]第３表!$F$80:$Q$136,MATCH([15]設定!$D43,[15]第３表!$C$80:$C$136,0),12),[15]設定!$H43))</f>
        <v>2.7</v>
      </c>
    </row>
    <row r="30" spans="2:16" s="8" customFormat="1" ht="17.25" customHeight="1" x14ac:dyDescent="0.45">
      <c r="B30" s="49" t="str">
        <f>+[16]第５表!B30</f>
        <v>E16,17</v>
      </c>
      <c r="C30" s="50"/>
      <c r="D30" s="65" t="str">
        <f>+[16]第５表!D30</f>
        <v>化学、石油・石炭</v>
      </c>
      <c r="E30" s="52">
        <f>IF($D30="","",IF([15]設定!$H44="",INDEX([15]第３表!$F$80:$Q$136,MATCH([15]設定!$D44,[15]第３表!$C$80:$C$136,0),1),[15]設定!$H44))</f>
        <v>19.399999999999999</v>
      </c>
      <c r="F30" s="52">
        <f>IF($D30="","",IF([15]設定!$H44="",INDEX([15]第３表!$F$80:$Q$136,MATCH([15]設定!$D44,[15]第３表!$C$80:$C$136,0),2),[15]設定!$H44))</f>
        <v>159.1</v>
      </c>
      <c r="G30" s="52">
        <f>IF($D30="","",IF([15]設定!$H44="",INDEX([15]第３表!$F$80:$Q$136,MATCH([15]設定!$D44,[15]第３表!$C$80:$C$136,0),3),[15]設定!$H44))</f>
        <v>140.9</v>
      </c>
      <c r="H30" s="55">
        <f>IF($D30="","",IF([15]設定!$H44="",INDEX([15]第３表!$F$80:$Q$136,MATCH([15]設定!$D44,[15]第３表!$C$80:$C$136,0),4),[15]設定!$H44))</f>
        <v>18.2</v>
      </c>
      <c r="I30" s="52">
        <f>IF($D30="","",IF([15]設定!$H44="",INDEX([15]第３表!$F$80:$Q$136,MATCH([15]設定!$D44,[15]第３表!$C$80:$C$136,0),5),[15]設定!$H44))</f>
        <v>19.600000000000001</v>
      </c>
      <c r="J30" s="52">
        <f>IF($D30="","",IF([15]設定!$H44="",INDEX([15]第３表!$F$80:$Q$136,MATCH([15]設定!$D44,[15]第３表!$C$80:$C$136,0),6),[15]設定!$H44))</f>
        <v>161</v>
      </c>
      <c r="K30" s="52">
        <f>IF($D30="","",IF([15]設定!$H44="",INDEX([15]第３表!$F$80:$Q$136,MATCH([15]設定!$D44,[15]第３表!$C$80:$C$136,0),7),[15]設定!$H44))</f>
        <v>141.69999999999999</v>
      </c>
      <c r="L30" s="55">
        <f>IF($D30="","",IF([15]設定!$H44="",INDEX([15]第３表!$F$80:$Q$136,MATCH([15]設定!$D44,[15]第３表!$C$80:$C$136,0),8),[15]設定!$H44))</f>
        <v>19.3</v>
      </c>
      <c r="M30" s="52">
        <f>IF($D30="","",IF([15]設定!$H44="",INDEX([15]第３表!$F$80:$Q$136,MATCH([15]設定!$D44,[15]第３表!$C$80:$C$136,0),9),[15]設定!$H44))</f>
        <v>17.7</v>
      </c>
      <c r="N30" s="52">
        <f>IF($D30="","",IF([15]設定!$H44="",INDEX([15]第３表!$F$80:$Q$136,MATCH([15]設定!$D44,[15]第３表!$C$80:$C$136,0),10),[15]設定!$H44))</f>
        <v>138.6</v>
      </c>
      <c r="O30" s="52">
        <f>IF($D30="","",IF([15]設定!$H44="",INDEX([15]第３表!$F$80:$Q$136,MATCH([15]設定!$D44,[15]第３表!$C$80:$C$136,0),11),[15]設定!$H44))</f>
        <v>132.19999999999999</v>
      </c>
      <c r="P30" s="55">
        <f>IF($D30="","",IF([15]設定!$H44="",INDEX([15]第３表!$F$80:$Q$136,MATCH([15]設定!$D44,[15]第３表!$C$80:$C$136,0),12),[15]設定!$H44))</f>
        <v>6.4</v>
      </c>
    </row>
    <row r="31" spans="2:16" s="8" customFormat="1" ht="17.25" customHeight="1" x14ac:dyDescent="0.45">
      <c r="B31" s="49" t="str">
        <f>+[16]第５表!B31</f>
        <v>E18</v>
      </c>
      <c r="C31" s="50"/>
      <c r="D31" s="65" t="str">
        <f>+[16]第５表!D31</f>
        <v>プラスチック製品</v>
      </c>
      <c r="E31" s="52">
        <f>IF($D31="","",IF([15]設定!$H45="",INDEX([15]第３表!$F$80:$Q$136,MATCH([15]設定!$D45,[15]第３表!$C$80:$C$136,0),1),[15]設定!$H45))</f>
        <v>18.5</v>
      </c>
      <c r="F31" s="52">
        <f>IF($D31="","",IF([15]設定!$H45="",INDEX([15]第３表!$F$80:$Q$136,MATCH([15]設定!$D45,[15]第３表!$C$80:$C$136,0),2),[15]設定!$H45))</f>
        <v>138.80000000000001</v>
      </c>
      <c r="G31" s="52">
        <f>IF($D31="","",IF([15]設定!$H45="",INDEX([15]第３表!$F$80:$Q$136,MATCH([15]設定!$D45,[15]第３表!$C$80:$C$136,0),3),[15]設定!$H45))</f>
        <v>132.1</v>
      </c>
      <c r="H31" s="55">
        <f>IF($D31="","",IF([15]設定!$H45="",INDEX([15]第３表!$F$80:$Q$136,MATCH([15]設定!$D45,[15]第３表!$C$80:$C$136,0),4),[15]設定!$H45))</f>
        <v>6.7</v>
      </c>
      <c r="I31" s="52">
        <f>IF($D31="","",IF([15]設定!$H45="",INDEX([15]第３表!$F$80:$Q$136,MATCH([15]設定!$D45,[15]第３表!$C$80:$C$136,0),5),[15]設定!$H45))</f>
        <v>18.8</v>
      </c>
      <c r="J31" s="52">
        <f>IF($D31="","",IF([15]設定!$H45="",INDEX([15]第３表!$F$80:$Q$136,MATCH([15]設定!$D45,[15]第３表!$C$80:$C$136,0),6),[15]設定!$H45))</f>
        <v>153</v>
      </c>
      <c r="K31" s="52">
        <f>IF($D31="","",IF([15]設定!$H45="",INDEX([15]第３表!$F$80:$Q$136,MATCH([15]設定!$D45,[15]第３表!$C$80:$C$136,0),7),[15]設定!$H45))</f>
        <v>143.4</v>
      </c>
      <c r="L31" s="55">
        <f>IF($D31="","",IF([15]設定!$H45="",INDEX([15]第３表!$F$80:$Q$136,MATCH([15]設定!$D45,[15]第３表!$C$80:$C$136,0),8),[15]設定!$H45))</f>
        <v>9.6</v>
      </c>
      <c r="M31" s="52">
        <f>IF($D31="","",IF([15]設定!$H45="",INDEX([15]第３表!$F$80:$Q$136,MATCH([15]設定!$D45,[15]第３表!$C$80:$C$136,0),9),[15]設定!$H45))</f>
        <v>17.7</v>
      </c>
      <c r="N31" s="52">
        <f>IF($D31="","",IF([15]設定!$H45="",INDEX([15]第３表!$F$80:$Q$136,MATCH([15]設定!$D45,[15]第３表!$C$80:$C$136,0),10),[15]設定!$H45))</f>
        <v>109.4</v>
      </c>
      <c r="O31" s="52">
        <f>IF($D31="","",IF([15]設定!$H45="",INDEX([15]第３表!$F$80:$Q$136,MATCH([15]設定!$D45,[15]第３表!$C$80:$C$136,0),11),[15]設定!$H45))</f>
        <v>108.5</v>
      </c>
      <c r="P31" s="55">
        <f>IF($D31="","",IF([15]設定!$H45="",INDEX([15]第３表!$F$80:$Q$136,MATCH([15]設定!$D45,[15]第３表!$C$80:$C$136,0),12),[15]設定!$H45))</f>
        <v>0.9</v>
      </c>
    </row>
    <row r="32" spans="2:16" s="8" customFormat="1" ht="17.25" customHeight="1" x14ac:dyDescent="0.45">
      <c r="B32" s="49" t="str">
        <f>+[16]第５表!B32</f>
        <v>E19</v>
      </c>
      <c r="C32" s="50"/>
      <c r="D32" s="65" t="str">
        <f>+[16]第５表!D32</f>
        <v>ゴム製品</v>
      </c>
      <c r="E32" s="52">
        <f>IF($D32="","",IF([15]設定!$H46="",INDEX([15]第３表!$F$80:$Q$136,MATCH([15]設定!$D46,[15]第３表!$C$80:$C$136,0),1),[15]設定!$H46))</f>
        <v>17.100000000000001</v>
      </c>
      <c r="F32" s="52">
        <f>IF($D32="","",IF([15]設定!$H46="",INDEX([15]第３表!$F$80:$Q$136,MATCH([15]設定!$D46,[15]第３表!$C$80:$C$136,0),2),[15]設定!$H46))</f>
        <v>147.80000000000001</v>
      </c>
      <c r="G32" s="52">
        <f>IF($D32="","",IF([15]設定!$H46="",INDEX([15]第３表!$F$80:$Q$136,MATCH([15]設定!$D46,[15]第３表!$C$80:$C$136,0),3),[15]設定!$H46))</f>
        <v>126</v>
      </c>
      <c r="H32" s="55">
        <f>IF($D32="","",IF([15]設定!$H46="",INDEX([15]第３表!$F$80:$Q$136,MATCH([15]設定!$D46,[15]第３表!$C$80:$C$136,0),4),[15]設定!$H46))</f>
        <v>21.8</v>
      </c>
      <c r="I32" s="52">
        <f>IF($D32="","",IF([15]設定!$H46="",INDEX([15]第３表!$F$80:$Q$136,MATCH([15]設定!$D46,[15]第３表!$C$80:$C$136,0),5),[15]設定!$H46))</f>
        <v>17.100000000000001</v>
      </c>
      <c r="J32" s="52">
        <f>IF($D32="","",IF([15]設定!$H46="",INDEX([15]第３表!$F$80:$Q$136,MATCH([15]設定!$D46,[15]第３表!$C$80:$C$136,0),6),[15]設定!$H46))</f>
        <v>149.1</v>
      </c>
      <c r="K32" s="52">
        <f>IF($D32="","",IF([15]設定!$H46="",INDEX([15]第３表!$F$80:$Q$136,MATCH([15]設定!$D46,[15]第３表!$C$80:$C$136,0),7),[15]設定!$H46))</f>
        <v>125.1</v>
      </c>
      <c r="L32" s="55">
        <f>IF($D32="","",IF([15]設定!$H46="",INDEX([15]第３表!$F$80:$Q$136,MATCH([15]設定!$D46,[15]第３表!$C$80:$C$136,0),8),[15]設定!$H46))</f>
        <v>24</v>
      </c>
      <c r="M32" s="52">
        <f>IF($D32="","",IF([15]設定!$H46="",INDEX([15]第３表!$F$80:$Q$136,MATCH([15]設定!$D46,[15]第３表!$C$80:$C$136,0),9),[15]設定!$H46))</f>
        <v>17</v>
      </c>
      <c r="N32" s="52">
        <f>IF($D32="","",IF([15]設定!$H46="",INDEX([15]第３表!$F$80:$Q$136,MATCH([15]設定!$D46,[15]第３表!$C$80:$C$136,0),10),[15]設定!$H46))</f>
        <v>138.9</v>
      </c>
      <c r="O32" s="52">
        <f>IF($D32="","",IF([15]設定!$H46="",INDEX([15]第３表!$F$80:$Q$136,MATCH([15]設定!$D46,[15]第３表!$C$80:$C$136,0),11),[15]設定!$H46))</f>
        <v>131.6</v>
      </c>
      <c r="P32" s="55">
        <f>IF($D32="","",IF([15]設定!$H46="",INDEX([15]第３表!$F$80:$Q$136,MATCH([15]設定!$D46,[15]第３表!$C$80:$C$136,0),12),[15]設定!$H46))</f>
        <v>7.3</v>
      </c>
    </row>
    <row r="33" spans="2:17" s="8" customFormat="1" ht="17.25" customHeight="1" x14ac:dyDescent="0.45">
      <c r="B33" s="49" t="str">
        <f>+[16]第５表!B33</f>
        <v>E21</v>
      </c>
      <c r="C33" s="50"/>
      <c r="D33" s="65" t="str">
        <f>+[16]第５表!D33</f>
        <v>窯業・土石製品</v>
      </c>
      <c r="E33" s="52">
        <f>IF($D33="","",IF([15]設定!$H47="",INDEX([15]第３表!$F$80:$Q$136,MATCH([15]設定!$D47,[15]第３表!$C$80:$C$136,0),1),[15]設定!$H47))</f>
        <v>16.2</v>
      </c>
      <c r="F33" s="52">
        <f>IF($D33="","",IF([15]設定!$H47="",INDEX([15]第３表!$F$80:$Q$136,MATCH([15]設定!$D47,[15]第３表!$C$80:$C$136,0),2),[15]設定!$H47))</f>
        <v>131.9</v>
      </c>
      <c r="G33" s="52">
        <f>IF($D33="","",IF([15]設定!$H47="",INDEX([15]第３表!$F$80:$Q$136,MATCH([15]設定!$D47,[15]第３表!$C$80:$C$136,0),3),[15]設定!$H47))</f>
        <v>126.9</v>
      </c>
      <c r="H33" s="55">
        <f>IF($D33="","",IF([15]設定!$H47="",INDEX([15]第３表!$F$80:$Q$136,MATCH([15]設定!$D47,[15]第３表!$C$80:$C$136,0),4),[15]設定!$H47))</f>
        <v>5</v>
      </c>
      <c r="I33" s="52">
        <f>IF($D33="","",IF([15]設定!$H47="",INDEX([15]第３表!$F$80:$Q$136,MATCH([15]設定!$D47,[15]第３表!$C$80:$C$136,0),5),[15]設定!$H47))</f>
        <v>16.100000000000001</v>
      </c>
      <c r="J33" s="52">
        <f>IF($D33="","",IF([15]設定!$H47="",INDEX([15]第３表!$F$80:$Q$136,MATCH([15]設定!$D47,[15]第３表!$C$80:$C$136,0),6),[15]設定!$H47))</f>
        <v>133.9</v>
      </c>
      <c r="K33" s="52">
        <f>IF($D33="","",IF([15]設定!$H47="",INDEX([15]第３表!$F$80:$Q$136,MATCH([15]設定!$D47,[15]第３表!$C$80:$C$136,0),7),[15]設定!$H47))</f>
        <v>127.7</v>
      </c>
      <c r="L33" s="55">
        <f>IF($D33="","",IF([15]設定!$H47="",INDEX([15]第３表!$F$80:$Q$136,MATCH([15]設定!$D47,[15]第３表!$C$80:$C$136,0),8),[15]設定!$H47))</f>
        <v>6.2</v>
      </c>
      <c r="M33" s="52">
        <f>IF($D33="","",IF([15]設定!$H47="",INDEX([15]第３表!$F$80:$Q$136,MATCH([15]設定!$D47,[15]第３表!$C$80:$C$136,0),9),[15]設定!$H47))</f>
        <v>16.3</v>
      </c>
      <c r="N33" s="52">
        <f>IF($D33="","",IF([15]設定!$H47="",INDEX([15]第３表!$F$80:$Q$136,MATCH([15]設定!$D47,[15]第３表!$C$80:$C$136,0),10),[15]設定!$H47))</f>
        <v>124.8</v>
      </c>
      <c r="O33" s="52">
        <f>IF($D33="","",IF([15]設定!$H47="",INDEX([15]第３表!$F$80:$Q$136,MATCH([15]設定!$D47,[15]第３表!$C$80:$C$136,0),11),[15]設定!$H47))</f>
        <v>124.3</v>
      </c>
      <c r="P33" s="55">
        <f>IF($D33="","",IF([15]設定!$H47="",INDEX([15]第３表!$F$80:$Q$136,MATCH([15]設定!$D47,[15]第３表!$C$80:$C$136,0),12),[15]設定!$H47))</f>
        <v>0.5</v>
      </c>
    </row>
    <row r="34" spans="2:17" s="8" customFormat="1" ht="17.25" customHeight="1" x14ac:dyDescent="0.45">
      <c r="B34" s="49" t="str">
        <f>+[16]第５表!B34</f>
        <v>E24</v>
      </c>
      <c r="C34" s="50"/>
      <c r="D34" s="65" t="str">
        <f>+[16]第５表!D34</f>
        <v>金属製品製造業</v>
      </c>
      <c r="E34" s="55">
        <f>IF($D34="","",IF([15]設定!$H48="",INDEX([15]第３表!$F$80:$Q$136,MATCH([15]設定!$D48,[15]第３表!$C$80:$C$136,0),1),[15]設定!$H48))</f>
        <v>19.3</v>
      </c>
      <c r="F34" s="55">
        <f>IF($D34="","",IF([15]設定!$H48="",INDEX([15]第３表!$F$80:$Q$136,MATCH([15]設定!$D48,[15]第３表!$C$80:$C$136,0),2),[15]設定!$H48))</f>
        <v>152.1</v>
      </c>
      <c r="G34" s="55">
        <f>IF($D34="","",IF([15]設定!$H48="",INDEX([15]第３表!$F$80:$Q$136,MATCH([15]設定!$D48,[15]第３表!$C$80:$C$136,0),3),[15]設定!$H48))</f>
        <v>141.80000000000001</v>
      </c>
      <c r="H34" s="55">
        <f>IF($D34="","",IF([15]設定!$H48="",INDEX([15]第３表!$F$80:$Q$136,MATCH([15]設定!$D48,[15]第３表!$C$80:$C$136,0),4),[15]設定!$H48))</f>
        <v>10.3</v>
      </c>
      <c r="I34" s="55">
        <f>IF($D34="","",IF([15]設定!$H48="",INDEX([15]第３表!$F$80:$Q$136,MATCH([15]設定!$D48,[15]第３表!$C$80:$C$136,0),5),[15]設定!$H48))</f>
        <v>19.3</v>
      </c>
      <c r="J34" s="55">
        <f>IF($D34="","",IF([15]設定!$H48="",INDEX([15]第３表!$F$80:$Q$136,MATCH([15]設定!$D48,[15]第３表!$C$80:$C$136,0),6),[15]設定!$H48))</f>
        <v>161</v>
      </c>
      <c r="K34" s="55">
        <f>IF($D34="","",IF([15]設定!$H48="",INDEX([15]第３表!$F$80:$Q$136,MATCH([15]設定!$D48,[15]第３表!$C$80:$C$136,0),7),[15]設定!$H48))</f>
        <v>147</v>
      </c>
      <c r="L34" s="55">
        <f>IF($D34="","",IF([15]設定!$H48="",INDEX([15]第３表!$F$80:$Q$136,MATCH([15]設定!$D48,[15]第３表!$C$80:$C$136,0),8),[15]設定!$H48))</f>
        <v>14</v>
      </c>
      <c r="M34" s="55">
        <f>IF($D34="","",IF([15]設定!$H48="",INDEX([15]第３表!$F$80:$Q$136,MATCH([15]設定!$D48,[15]第３表!$C$80:$C$136,0),9),[15]設定!$H48))</f>
        <v>19.2</v>
      </c>
      <c r="N34" s="55">
        <f>IF($D34="","",IF([15]設定!$H48="",INDEX([15]第３表!$F$80:$Q$136,MATCH([15]設定!$D48,[15]第３表!$C$80:$C$136,0),10),[15]設定!$H48))</f>
        <v>138</v>
      </c>
      <c r="O34" s="55">
        <f>IF($D34="","",IF([15]設定!$H48="",INDEX([15]第３表!$F$80:$Q$136,MATCH([15]設定!$D48,[15]第３表!$C$80:$C$136,0),11),[15]設定!$H48))</f>
        <v>133.6</v>
      </c>
      <c r="P34" s="55">
        <f>IF($D34="","",IF([15]設定!$H48="",INDEX([15]第３表!$F$80:$Q$136,MATCH([15]設定!$D48,[15]第３表!$C$80:$C$136,0),12),[15]設定!$H48))</f>
        <v>4.4000000000000004</v>
      </c>
    </row>
    <row r="35" spans="2:17" s="8" customFormat="1" ht="17.25" customHeight="1" x14ac:dyDescent="0.45">
      <c r="B35" s="49" t="str">
        <f>+[16]第５表!B35</f>
        <v>E27</v>
      </c>
      <c r="C35" s="50"/>
      <c r="D35" s="65" t="str">
        <f>+[16]第５表!D35</f>
        <v>業務用機械器具</v>
      </c>
      <c r="E35" s="55">
        <f>IF($D35="","",IF([15]設定!$H49="",INDEX([15]第３表!$F$80:$Q$136,MATCH([15]設定!$D49,[15]第３表!$C$80:$C$136,0),1),[15]設定!$H49))</f>
        <v>16.2</v>
      </c>
      <c r="F35" s="55">
        <f>IF($D35="","",IF([15]設定!$H49="",INDEX([15]第３表!$F$80:$Q$136,MATCH([15]設定!$D49,[15]第３表!$C$80:$C$136,0),2),[15]設定!$H49))</f>
        <v>138.4</v>
      </c>
      <c r="G35" s="55">
        <f>IF($D35="","",IF([15]設定!$H49="",INDEX([15]第３表!$F$80:$Q$136,MATCH([15]設定!$D49,[15]第３表!$C$80:$C$136,0),3),[15]設定!$H49))</f>
        <v>128.30000000000001</v>
      </c>
      <c r="H35" s="55">
        <f>IF($D35="","",IF([15]設定!$H49="",INDEX([15]第３表!$F$80:$Q$136,MATCH([15]設定!$D49,[15]第３表!$C$80:$C$136,0),4),[15]設定!$H49))</f>
        <v>10.1</v>
      </c>
      <c r="I35" s="55">
        <f>IF($D35="","",IF([15]設定!$H49="",INDEX([15]第３表!$F$80:$Q$136,MATCH([15]設定!$D49,[15]第３表!$C$80:$C$136,0),5),[15]設定!$H49))</f>
        <v>16.5</v>
      </c>
      <c r="J35" s="55">
        <f>IF($D35="","",IF([15]設定!$H49="",INDEX([15]第３表!$F$80:$Q$136,MATCH([15]設定!$D49,[15]第３表!$C$80:$C$136,0),6),[15]設定!$H49))</f>
        <v>141.30000000000001</v>
      </c>
      <c r="K35" s="55">
        <f>IF($D35="","",IF([15]設定!$H49="",INDEX([15]第３表!$F$80:$Q$136,MATCH([15]設定!$D49,[15]第３表!$C$80:$C$136,0),7),[15]設定!$H49))</f>
        <v>129.4</v>
      </c>
      <c r="L35" s="55">
        <f>IF($D35="","",IF([15]設定!$H49="",INDEX([15]第３表!$F$80:$Q$136,MATCH([15]設定!$D49,[15]第３表!$C$80:$C$136,0),8),[15]設定!$H49))</f>
        <v>11.9</v>
      </c>
      <c r="M35" s="55">
        <f>IF($D35="","",IF([15]設定!$H49="",INDEX([15]第３表!$F$80:$Q$136,MATCH([15]設定!$D49,[15]第３表!$C$80:$C$136,0),9),[15]設定!$H49))</f>
        <v>16</v>
      </c>
      <c r="N35" s="55">
        <f>IF($D35="","",IF([15]設定!$H49="",INDEX([15]第３表!$F$80:$Q$136,MATCH([15]設定!$D49,[15]第３表!$C$80:$C$136,0),10),[15]設定!$H49))</f>
        <v>135.80000000000001</v>
      </c>
      <c r="O35" s="55">
        <f>IF($D35="","",IF([15]設定!$H49="",INDEX([15]第３表!$F$80:$Q$136,MATCH([15]設定!$D49,[15]第３表!$C$80:$C$136,0),11),[15]設定!$H49))</f>
        <v>127.3</v>
      </c>
      <c r="P35" s="55">
        <f>IF($D35="","",IF([15]設定!$H49="",INDEX([15]第３表!$F$80:$Q$136,MATCH([15]設定!$D49,[15]第３表!$C$80:$C$136,0),12),[15]設定!$H49))</f>
        <v>8.5</v>
      </c>
    </row>
    <row r="36" spans="2:17" s="8" customFormat="1" ht="17.25" customHeight="1" x14ac:dyDescent="0.45">
      <c r="B36" s="49" t="str">
        <f>+[16]第５表!B36</f>
        <v>E28</v>
      </c>
      <c r="C36" s="50"/>
      <c r="D36" s="65" t="str">
        <f>+[16]第５表!D36</f>
        <v>電子・デバイス</v>
      </c>
      <c r="E36" s="55">
        <f>IF($D36="","",IF([15]設定!$H50="",INDEX([15]第３表!$F$80:$Q$136,MATCH([15]設定!$D50,[15]第３表!$C$80:$C$136,0),1),[15]設定!$H50))</f>
        <v>17.600000000000001</v>
      </c>
      <c r="F36" s="55">
        <f>IF($D36="","",IF([15]設定!$H50="",INDEX([15]第３表!$F$80:$Q$136,MATCH([15]設定!$D50,[15]第３表!$C$80:$C$136,0),2),[15]設定!$H50))</f>
        <v>149.9</v>
      </c>
      <c r="G36" s="55">
        <f>IF($D36="","",IF([15]設定!$H50="",INDEX([15]第３表!$F$80:$Q$136,MATCH([15]設定!$D50,[15]第３表!$C$80:$C$136,0),3),[15]設定!$H50))</f>
        <v>137.30000000000001</v>
      </c>
      <c r="H36" s="55">
        <f>IF($D36="","",IF([15]設定!$H50="",INDEX([15]第３表!$F$80:$Q$136,MATCH([15]設定!$D50,[15]第３表!$C$80:$C$136,0),4),[15]設定!$H50))</f>
        <v>12.6</v>
      </c>
      <c r="I36" s="55">
        <f>IF($D36="","",IF([15]設定!$H50="",INDEX([15]第３表!$F$80:$Q$136,MATCH([15]設定!$D50,[15]第３表!$C$80:$C$136,0),5),[15]設定!$H50))</f>
        <v>17.899999999999999</v>
      </c>
      <c r="J36" s="55">
        <f>IF($D36="","",IF([15]設定!$H50="",INDEX([15]第３表!$F$80:$Q$136,MATCH([15]設定!$D50,[15]第３表!$C$80:$C$136,0),6),[15]設定!$H50))</f>
        <v>158.19999999999999</v>
      </c>
      <c r="K36" s="55">
        <f>IF($D36="","",IF([15]設定!$H50="",INDEX([15]第３表!$F$80:$Q$136,MATCH([15]設定!$D50,[15]第３表!$C$80:$C$136,0),7),[15]設定!$H50))</f>
        <v>142.30000000000001</v>
      </c>
      <c r="L36" s="55">
        <f>IF($D36="","",IF([15]設定!$H50="",INDEX([15]第３表!$F$80:$Q$136,MATCH([15]設定!$D50,[15]第３表!$C$80:$C$136,0),8),[15]設定!$H50))</f>
        <v>15.9</v>
      </c>
      <c r="M36" s="55">
        <f>IF($D36="","",IF([15]設定!$H50="",INDEX([15]第３表!$F$80:$Q$136,MATCH([15]設定!$D50,[15]第３表!$C$80:$C$136,0),9),[15]設定!$H50))</f>
        <v>17</v>
      </c>
      <c r="N36" s="55">
        <f>IF($D36="","",IF([15]設定!$H50="",INDEX([15]第３表!$F$80:$Q$136,MATCH([15]設定!$D50,[15]第３表!$C$80:$C$136,0),10),[15]設定!$H50))</f>
        <v>134.1</v>
      </c>
      <c r="O36" s="55">
        <f>IF($D36="","",IF([15]設定!$H50="",INDEX([15]第３表!$F$80:$Q$136,MATCH([15]設定!$D50,[15]第３表!$C$80:$C$136,0),11),[15]設定!$H50))</f>
        <v>127.8</v>
      </c>
      <c r="P36" s="55">
        <f>IF($D36="","",IF([15]設定!$H50="",INDEX([15]第３表!$F$80:$Q$136,MATCH([15]設定!$D50,[15]第３表!$C$80:$C$136,0),12),[15]設定!$H50))</f>
        <v>6.3</v>
      </c>
    </row>
    <row r="37" spans="2:17" s="8" customFormat="1" ht="17.25" customHeight="1" x14ac:dyDescent="0.45">
      <c r="B37" s="49" t="str">
        <f>+[16]第５表!B37</f>
        <v>E29</v>
      </c>
      <c r="C37" s="50"/>
      <c r="D37" s="65" t="str">
        <f>+[16]第５表!D37</f>
        <v>電気機械器具</v>
      </c>
      <c r="E37" s="55">
        <f>IF($D37="","",IF([15]設定!$H51="",INDEX([15]第３表!$F$80:$Q$136,MATCH([15]設定!$D51,[15]第３表!$C$80:$C$136,0),1),[15]設定!$H51))</f>
        <v>17.8</v>
      </c>
      <c r="F37" s="55">
        <f>IF($D37="","",IF([15]設定!$H51="",INDEX([15]第３表!$F$80:$Q$136,MATCH([15]設定!$D51,[15]第３表!$C$80:$C$136,0),2),[15]設定!$H51))</f>
        <v>144.5</v>
      </c>
      <c r="G37" s="55">
        <f>IF($D37="","",IF([15]設定!$H51="",INDEX([15]第３表!$F$80:$Q$136,MATCH([15]設定!$D51,[15]第３表!$C$80:$C$136,0),3),[15]設定!$H51))</f>
        <v>136.69999999999999</v>
      </c>
      <c r="H37" s="55">
        <f>IF($D37="","",IF([15]設定!$H51="",INDEX([15]第３表!$F$80:$Q$136,MATCH([15]設定!$D51,[15]第３表!$C$80:$C$136,0),4),[15]設定!$H51))</f>
        <v>7.8</v>
      </c>
      <c r="I37" s="55">
        <f>IF($D37="","",IF([15]設定!$H51="",INDEX([15]第３表!$F$80:$Q$136,MATCH([15]設定!$D51,[15]第３表!$C$80:$C$136,0),5),[15]設定!$H51))</f>
        <v>18.5</v>
      </c>
      <c r="J37" s="55">
        <f>IF($D37="","",IF([15]設定!$H51="",INDEX([15]第３表!$F$80:$Q$136,MATCH([15]設定!$D51,[15]第３表!$C$80:$C$136,0),6),[15]設定!$H51))</f>
        <v>152.4</v>
      </c>
      <c r="K37" s="55">
        <f>IF($D37="","",IF([15]設定!$H51="",INDEX([15]第３表!$F$80:$Q$136,MATCH([15]設定!$D51,[15]第３表!$C$80:$C$136,0),7),[15]設定!$H51))</f>
        <v>142.6</v>
      </c>
      <c r="L37" s="55">
        <f>IF($D37="","",IF([15]設定!$H51="",INDEX([15]第３表!$F$80:$Q$136,MATCH([15]設定!$D51,[15]第３表!$C$80:$C$136,0),8),[15]設定!$H51))</f>
        <v>9.8000000000000007</v>
      </c>
      <c r="M37" s="55">
        <f>IF($D37="","",IF([15]設定!$H51="",INDEX([15]第３表!$F$80:$Q$136,MATCH([15]設定!$D51,[15]第３表!$C$80:$C$136,0),9),[15]設定!$H51))</f>
        <v>16.100000000000001</v>
      </c>
      <c r="N37" s="55">
        <f>IF($D37="","",IF([15]設定!$H51="",INDEX([15]第３表!$F$80:$Q$136,MATCH([15]設定!$D51,[15]第３表!$C$80:$C$136,0),10),[15]設定!$H51))</f>
        <v>124.4</v>
      </c>
      <c r="O37" s="55">
        <f>IF($D37="","",IF([15]設定!$H51="",INDEX([15]第３表!$F$80:$Q$136,MATCH([15]設定!$D51,[15]第３表!$C$80:$C$136,0),11),[15]設定!$H51))</f>
        <v>121.7</v>
      </c>
      <c r="P37" s="55">
        <f>IF($D37="","",IF([15]設定!$H51="",INDEX([15]第３表!$F$80:$Q$136,MATCH([15]設定!$D51,[15]第３表!$C$80:$C$136,0),12),[15]設定!$H51))</f>
        <v>2.7</v>
      </c>
    </row>
    <row r="38" spans="2:17" s="8" customFormat="1" ht="17.25" customHeight="1" x14ac:dyDescent="0.45">
      <c r="B38" s="49" t="str">
        <f>+[16]第５表!B38</f>
        <v>E31</v>
      </c>
      <c r="C38" s="50"/>
      <c r="D38" s="65" t="str">
        <f>+[16]第５表!D38</f>
        <v>輸送用機械器具</v>
      </c>
      <c r="E38" s="55">
        <f>IF($D38="","",IF([15]設定!$H52="",INDEX([15]第３表!$F$80:$Q$136,MATCH([15]設定!$D52,[15]第３表!$C$80:$C$136,0),1),[15]設定!$H52))</f>
        <v>16.399999999999999</v>
      </c>
      <c r="F38" s="55">
        <f>IF($D38="","",IF([15]設定!$H52="",INDEX([15]第３表!$F$80:$Q$136,MATCH([15]設定!$D52,[15]第３表!$C$80:$C$136,0),2),[15]設定!$H52))</f>
        <v>152.19999999999999</v>
      </c>
      <c r="G38" s="55">
        <f>IF($D38="","",IF([15]設定!$H52="",INDEX([15]第３表!$F$80:$Q$136,MATCH([15]設定!$D52,[15]第３表!$C$80:$C$136,0),3),[15]設定!$H52))</f>
        <v>130.6</v>
      </c>
      <c r="H38" s="55">
        <f>IF($D38="","",IF([15]設定!$H52="",INDEX([15]第３表!$F$80:$Q$136,MATCH([15]設定!$D52,[15]第３表!$C$80:$C$136,0),4),[15]設定!$H52))</f>
        <v>21.6</v>
      </c>
      <c r="I38" s="55">
        <f>IF($D38="","",IF([15]設定!$H52="",INDEX([15]第３表!$F$80:$Q$136,MATCH([15]設定!$D52,[15]第３表!$C$80:$C$136,0),5),[15]設定!$H52))</f>
        <v>16.399999999999999</v>
      </c>
      <c r="J38" s="55">
        <f>IF($D38="","",IF([15]設定!$H52="",INDEX([15]第３表!$F$80:$Q$136,MATCH([15]設定!$D52,[15]第３表!$C$80:$C$136,0),6),[15]設定!$H52))</f>
        <v>156.1</v>
      </c>
      <c r="K38" s="55">
        <f>IF($D38="","",IF([15]設定!$H52="",INDEX([15]第３表!$F$80:$Q$136,MATCH([15]設定!$D52,[15]第３表!$C$80:$C$136,0),7),[15]設定!$H52))</f>
        <v>132.19999999999999</v>
      </c>
      <c r="L38" s="55">
        <f>IF($D38="","",IF([15]設定!$H52="",INDEX([15]第３表!$F$80:$Q$136,MATCH([15]設定!$D52,[15]第３表!$C$80:$C$136,0),8),[15]設定!$H52))</f>
        <v>23.9</v>
      </c>
      <c r="M38" s="55">
        <f>IF($D38="","",IF([15]設定!$H52="",INDEX([15]第３表!$F$80:$Q$136,MATCH([15]設定!$D52,[15]第３表!$C$80:$C$136,0),9),[15]設定!$H52))</f>
        <v>16.3</v>
      </c>
      <c r="N38" s="55">
        <f>IF($D38="","",IF([15]設定!$H52="",INDEX([15]第３表!$F$80:$Q$136,MATCH([15]設定!$D52,[15]第３表!$C$80:$C$136,0),10),[15]設定!$H52))</f>
        <v>138</v>
      </c>
      <c r="O38" s="55">
        <f>IF($D38="","",IF([15]設定!$H52="",INDEX([15]第３表!$F$80:$Q$136,MATCH([15]設定!$D52,[15]第３表!$C$80:$C$136,0),11),[15]設定!$H52))</f>
        <v>124.5</v>
      </c>
      <c r="P38" s="55">
        <f>IF($D38="","",IF([15]設定!$H52="",INDEX([15]第３表!$F$80:$Q$136,MATCH([15]設定!$D52,[15]第３表!$C$80:$C$136,0),12),[15]設定!$H52))</f>
        <v>13.5</v>
      </c>
    </row>
    <row r="39" spans="2:17" s="8" customFormat="1" ht="17.25" customHeight="1" x14ac:dyDescent="0.45">
      <c r="B39" s="66" t="str">
        <f>+[16]第５表!B39</f>
        <v>ES</v>
      </c>
      <c r="C39" s="67"/>
      <c r="D39" s="68" t="str">
        <f>+[16]第５表!D39</f>
        <v>はん用・生産用機械器具</v>
      </c>
      <c r="E39" s="69">
        <f>IF($D39="","",IF([15]設定!$H53="",INDEX([15]第３表!$F$80:$Q$136,MATCH([15]設定!$D53,[15]第３表!$C$80:$C$136,0),1),[15]設定!$H53))</f>
        <v>20.100000000000001</v>
      </c>
      <c r="F39" s="69">
        <f>IF($D39="","",IF([15]設定!$H53="",INDEX([15]第３表!$F$80:$Q$136,MATCH([15]設定!$D53,[15]第３表!$C$80:$C$136,0),2),[15]設定!$H53))</f>
        <v>169.7</v>
      </c>
      <c r="G39" s="69">
        <f>IF($D39="","",IF([15]設定!$H53="",INDEX([15]第３表!$F$80:$Q$136,MATCH([15]設定!$D53,[15]第３表!$C$80:$C$136,0),3),[15]設定!$H53))</f>
        <v>151.30000000000001</v>
      </c>
      <c r="H39" s="69">
        <f>IF($D39="","",IF([15]設定!$H53="",INDEX([15]第３表!$F$80:$Q$136,MATCH([15]設定!$D53,[15]第３表!$C$80:$C$136,0),4),[15]設定!$H53))</f>
        <v>18.399999999999999</v>
      </c>
      <c r="I39" s="69">
        <f>IF($D39="","",IF([15]設定!$H53="",INDEX([15]第３表!$F$80:$Q$136,MATCH([15]設定!$D53,[15]第３表!$C$80:$C$136,0),5),[15]設定!$H53))</f>
        <v>20.6</v>
      </c>
      <c r="J39" s="69">
        <f>IF($D39="","",IF([15]設定!$H53="",INDEX([15]第３表!$F$80:$Q$136,MATCH([15]設定!$D53,[15]第３表!$C$80:$C$136,0),6),[15]設定!$H53))</f>
        <v>174.6</v>
      </c>
      <c r="K39" s="69">
        <f>IF($D39="","",IF([15]設定!$H53="",INDEX([15]第３表!$F$80:$Q$136,MATCH([15]設定!$D53,[15]第３表!$C$80:$C$136,0),7),[15]設定!$H53))</f>
        <v>152.80000000000001</v>
      </c>
      <c r="L39" s="69">
        <f>IF($D39="","",IF([15]設定!$H53="",INDEX([15]第３表!$F$80:$Q$136,MATCH([15]設定!$D53,[15]第３表!$C$80:$C$136,0),8),[15]設定!$H53))</f>
        <v>21.8</v>
      </c>
      <c r="M39" s="69">
        <f>IF($D39="","",IF([15]設定!$H53="",INDEX([15]第３表!$F$80:$Q$136,MATCH([15]設定!$D53,[15]第３表!$C$80:$C$136,0),9),[15]設定!$H53))</f>
        <v>18.5</v>
      </c>
      <c r="N39" s="69">
        <f>IF($D39="","",IF([15]設定!$H53="",INDEX([15]第３表!$F$80:$Q$136,MATCH([15]設定!$D53,[15]第３表!$C$80:$C$136,0),10),[15]設定!$H53))</f>
        <v>151.9</v>
      </c>
      <c r="O39" s="69">
        <f>IF($D39="","",IF([15]設定!$H53="",INDEX([15]第３表!$F$80:$Q$136,MATCH([15]設定!$D53,[15]第３表!$C$80:$C$136,0),11),[15]設定!$H53))</f>
        <v>145.6</v>
      </c>
      <c r="P39" s="69">
        <f>IF($D39="","",IF([15]設定!$H53="",INDEX([15]第３表!$F$80:$Q$136,MATCH([15]設定!$D53,[15]第３表!$C$80:$C$136,0),12),[15]設定!$H53))</f>
        <v>6.3</v>
      </c>
    </row>
    <row r="40" spans="2:17" s="8" customFormat="1" ht="16.2" customHeight="1" x14ac:dyDescent="0.45">
      <c r="B40" s="70" t="str">
        <f>+[16]第５表!B40</f>
        <v>R91</v>
      </c>
      <c r="C40" s="71"/>
      <c r="D40" s="72" t="str">
        <f>+[16]第５表!D40</f>
        <v>職業紹介・労働者派遣業</v>
      </c>
      <c r="E40" s="73">
        <f>IF($D40="","",IF([15]設定!$H54="",INDEX([15]第３表!$F$80:$Q$136,MATCH([15]設定!$D54,[15]第３表!$C$80:$C$136,0),1),[15]設定!$H54))</f>
        <v>17.600000000000001</v>
      </c>
      <c r="F40" s="73">
        <f>IF($D40="","",IF([15]設定!$H54="",INDEX([15]第３表!$F$80:$Q$136,MATCH([15]設定!$D54,[15]第３表!$C$80:$C$136,0),2),[15]設定!$H54))</f>
        <v>143.30000000000001</v>
      </c>
      <c r="G40" s="73">
        <f>IF($D40="","",IF([15]設定!$H54="",INDEX([15]第３表!$F$80:$Q$136,MATCH([15]設定!$D54,[15]第３表!$C$80:$C$136,0),3),[15]設定!$H54))</f>
        <v>135.9</v>
      </c>
      <c r="H40" s="73">
        <f>IF($D40="","",IF([15]設定!$H54="",INDEX([15]第３表!$F$80:$Q$136,MATCH([15]設定!$D54,[15]第３表!$C$80:$C$136,0),4),[15]設定!$H54))</f>
        <v>7.4</v>
      </c>
      <c r="I40" s="73">
        <f>IF($D40="","",IF([15]設定!$H54="",INDEX([15]第３表!$F$80:$Q$136,MATCH([15]設定!$D54,[15]第３表!$C$80:$C$136,0),5),[15]設定!$H54))</f>
        <v>17.399999999999999</v>
      </c>
      <c r="J40" s="73">
        <f>IF($D40="","",IF([15]設定!$H54="",INDEX([15]第３表!$F$80:$Q$136,MATCH([15]設定!$D54,[15]第３表!$C$80:$C$136,0),6),[15]設定!$H54))</f>
        <v>153.6</v>
      </c>
      <c r="K40" s="73">
        <f>IF($D40="","",IF([15]設定!$H54="",INDEX([15]第３表!$F$80:$Q$136,MATCH([15]設定!$D54,[15]第３表!$C$80:$C$136,0),7),[15]設定!$H54))</f>
        <v>141.80000000000001</v>
      </c>
      <c r="L40" s="73">
        <f>IF($D40="","",IF([15]設定!$H54="",INDEX([15]第３表!$F$80:$Q$136,MATCH([15]設定!$D54,[15]第３表!$C$80:$C$136,0),8),[15]設定!$H54))</f>
        <v>11.8</v>
      </c>
      <c r="M40" s="73">
        <f>IF($D40="","",IF([15]設定!$H54="",INDEX([15]第３表!$F$80:$Q$136,MATCH([15]設定!$D54,[15]第３表!$C$80:$C$136,0),9),[15]設定!$H54))</f>
        <v>17.8</v>
      </c>
      <c r="N40" s="73">
        <f>IF($D40="","",IF([15]設定!$H54="",INDEX([15]第３表!$F$80:$Q$136,MATCH([15]設定!$D54,[15]第３表!$C$80:$C$136,0),10),[15]設定!$H54))</f>
        <v>135.19999999999999</v>
      </c>
      <c r="O40" s="73">
        <f>IF($D40="","",IF([15]設定!$H54="",INDEX([15]第３表!$F$80:$Q$136,MATCH([15]設定!$D54,[15]第３表!$C$80:$C$136,0),11),[15]設定!$H54))</f>
        <v>131.30000000000001</v>
      </c>
      <c r="P40" s="73">
        <f>IF($D40="","",IF([15]設定!$H54="",INDEX([15]第３表!$F$80:$Q$136,MATCH([15]設定!$D54,[15]第３表!$C$80:$C$136,0),12),[15]設定!$H54))</f>
        <v>3.9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IF($D47="","",IF([15]設定!$I23="",INDEX([15]第３表!$F$10:$Q$66,MATCH([15]設定!$D23,[15]第３表!$C$10:$C$66,0),1),[15]設定!$I23))</f>
        <v>18.100000000000001</v>
      </c>
      <c r="F47" s="48">
        <f>IF($D47="","",IF([15]設定!$I23="",INDEX([15]第３表!$F$10:$Q$66,MATCH([15]設定!$D23,[15]第３表!$C$10:$C$66,0),2),[15]設定!$I23))</f>
        <v>140</v>
      </c>
      <c r="G47" s="48">
        <f>IF($D47="","",IF([15]設定!$I23="",INDEX([15]第３表!$F$10:$Q$66,MATCH([15]設定!$D23,[15]第３表!$C$10:$C$66,0),3),[15]設定!$I23))</f>
        <v>130.30000000000001</v>
      </c>
      <c r="H47" s="48">
        <f>IF($D47="","",IF([15]設定!$I23="",INDEX([15]第３表!$F$10:$Q$66,MATCH([15]設定!$D23,[15]第３表!$C$10:$C$66,0),4),[15]設定!$I23))</f>
        <v>9.6999999999999993</v>
      </c>
      <c r="I47" s="48">
        <f>IF($D47="","",IF([15]設定!$I23="",INDEX([15]第３表!$F$10:$Q$66,MATCH([15]設定!$D23,[15]第３表!$C$10:$C$66,0),5),[15]設定!$I23))</f>
        <v>18.600000000000001</v>
      </c>
      <c r="J47" s="48">
        <f>IF($D47="","",IF([15]設定!$I23="",INDEX([15]第３表!$F$10:$Q$66,MATCH([15]設定!$D23,[15]第３表!$C$10:$C$66,0),6),[15]設定!$I23))</f>
        <v>152.5</v>
      </c>
      <c r="K47" s="48">
        <f>IF($D47="","",IF([15]設定!$I23="",INDEX([15]第３表!$F$10:$Q$66,MATCH([15]設定!$D23,[15]第３表!$C$10:$C$66,0),7),[15]設定!$I23))</f>
        <v>138.6</v>
      </c>
      <c r="L47" s="48">
        <f>IF($D47="","",IF([15]設定!$I23="",INDEX([15]第３表!$F$10:$Q$66,MATCH([15]設定!$D23,[15]第３表!$C$10:$C$66,0),8),[15]設定!$I23))</f>
        <v>13.9</v>
      </c>
      <c r="M47" s="48">
        <f>IF($D47="","",IF([15]設定!$I23="",INDEX([15]第３表!$F$10:$Q$66,MATCH([15]設定!$D23,[15]第３表!$C$10:$C$66,0),9),[15]設定!$I23))</f>
        <v>17.600000000000001</v>
      </c>
      <c r="N47" s="48">
        <f>IF($D47="","",IF([15]設定!$I23="",INDEX([15]第３表!$F$10:$Q$66,MATCH([15]設定!$D23,[15]第３表!$C$10:$C$66,0),10),[15]設定!$I23))</f>
        <v>127.6</v>
      </c>
      <c r="O47" s="48">
        <f>IF($D47="","",IF([15]設定!$I23="",INDEX([15]第３表!$F$10:$Q$66,MATCH([15]設定!$D23,[15]第３表!$C$10:$C$66,0),11),[15]設定!$I23))</f>
        <v>122.2</v>
      </c>
      <c r="P47" s="48">
        <f>IF($D47="","",IF([15]設定!$I23="",INDEX([15]第３表!$F$10:$Q$66,MATCH([15]設定!$D23,[15]第３表!$C$10:$C$66,0),12),[15]設定!$I23))</f>
        <v>5.4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IF($D48="","",IF([15]設定!$I24="",INDEX([15]第３表!$F$10:$Q$66,MATCH([15]設定!$D24,[15]第３表!$C$10:$C$66,0),1),[15]設定!$I24))</f>
        <v>19.899999999999999</v>
      </c>
      <c r="F48" s="52">
        <f>IF($D48="","",IF([15]設定!$I24="",INDEX([15]第３表!$F$10:$Q$66,MATCH([15]設定!$D24,[15]第３表!$C$10:$C$66,0),2),[15]設定!$I24))</f>
        <v>157.9</v>
      </c>
      <c r="G48" s="52">
        <f>IF($D48="","",IF([15]設定!$I24="",INDEX([15]第３表!$F$10:$Q$66,MATCH([15]設定!$D24,[15]第３表!$C$10:$C$66,0),3),[15]設定!$I24))</f>
        <v>148.19999999999999</v>
      </c>
      <c r="H48" s="53">
        <f>IF($D48="","",IF([15]設定!$I24="",INDEX([15]第３表!$F$10:$Q$66,MATCH([15]設定!$D24,[15]第３表!$C$10:$C$66,0),4),[15]設定!$I24))</f>
        <v>9.6999999999999993</v>
      </c>
      <c r="I48" s="54">
        <f>IF($D48="","",IF([15]設定!$I24="",INDEX([15]第３表!$F$10:$Q$66,MATCH([15]設定!$D24,[15]第３表!$C$10:$C$66,0),5),[15]設定!$I24))</f>
        <v>20</v>
      </c>
      <c r="J48" s="54">
        <f>IF($D48="","",IF([15]設定!$I24="",INDEX([15]第３表!$F$10:$Q$66,MATCH([15]設定!$D24,[15]第３表!$C$10:$C$66,0),6),[15]設定!$I24))</f>
        <v>157.5</v>
      </c>
      <c r="K48" s="54">
        <f>IF($D48="","",IF([15]設定!$I24="",INDEX([15]第３表!$F$10:$Q$66,MATCH([15]設定!$D24,[15]第３表!$C$10:$C$66,0),7),[15]設定!$I24))</f>
        <v>146.5</v>
      </c>
      <c r="L48" s="55">
        <f>IF($D48="","",IF([15]設定!$I24="",INDEX([15]第３表!$F$10:$Q$66,MATCH([15]設定!$D24,[15]第３表!$C$10:$C$66,0),8),[15]設定!$I24))</f>
        <v>11</v>
      </c>
      <c r="M48" s="56">
        <f>IF($D48="","",IF([15]設定!$I24="",INDEX([15]第３表!$F$10:$Q$66,MATCH([15]設定!$D24,[15]第３表!$C$10:$C$66,0),9),[15]設定!$I24))</f>
        <v>19.5</v>
      </c>
      <c r="N48" s="56">
        <f>IF($D48="","",IF([15]設定!$I24="",INDEX([15]第３表!$F$10:$Q$66,MATCH([15]設定!$D24,[15]第３表!$C$10:$C$66,0),10),[15]設定!$I24))</f>
        <v>159.30000000000001</v>
      </c>
      <c r="O48" s="56">
        <f>IF($D48="","",IF([15]設定!$I24="",INDEX([15]第３表!$F$10:$Q$66,MATCH([15]設定!$D24,[15]第３表!$C$10:$C$66,0),11),[15]設定!$I24))</f>
        <v>154.80000000000001</v>
      </c>
      <c r="P48" s="57">
        <f>IF($D48="","",IF([15]設定!$I24="",INDEX([15]第３表!$F$10:$Q$66,MATCH([15]設定!$D24,[15]第３表!$C$10:$C$66,0),12),[15]設定!$I24))</f>
        <v>4.5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IF($D49="","",IF([15]設定!$I25="",INDEX([15]第３表!$F$10:$Q$66,MATCH([15]設定!$D25,[15]第３表!$C$10:$C$66,0),1),[15]設定!$I25))</f>
        <v>18.399999999999999</v>
      </c>
      <c r="F49" s="52">
        <f>IF($D49="","",IF([15]設定!$I25="",INDEX([15]第３表!$F$10:$Q$66,MATCH([15]設定!$D25,[15]第３表!$C$10:$C$66,0),2),[15]設定!$I25))</f>
        <v>150.80000000000001</v>
      </c>
      <c r="G49" s="52">
        <f>IF($D49="","",IF([15]設定!$I25="",INDEX([15]第３表!$F$10:$Q$66,MATCH([15]設定!$D25,[15]第３表!$C$10:$C$66,0),3),[15]設定!$I25))</f>
        <v>138</v>
      </c>
      <c r="H49" s="53">
        <f>IF($D49="","",IF([15]設定!$I25="",INDEX([15]第３表!$F$10:$Q$66,MATCH([15]設定!$D25,[15]第３表!$C$10:$C$66,0),4),[15]設定!$I25))</f>
        <v>12.8</v>
      </c>
      <c r="I49" s="54">
        <f>IF($D49="","",IF([15]設定!$I25="",INDEX([15]第３表!$F$10:$Q$66,MATCH([15]設定!$D25,[15]第３表!$C$10:$C$66,0),5),[15]設定!$I25))</f>
        <v>18.5</v>
      </c>
      <c r="J49" s="54">
        <f>IF($D49="","",IF([15]設定!$I25="",INDEX([15]第３表!$F$10:$Q$66,MATCH([15]設定!$D25,[15]第３表!$C$10:$C$66,0),6),[15]設定!$I25))</f>
        <v>156.9</v>
      </c>
      <c r="K49" s="54">
        <f>IF($D49="","",IF([15]設定!$I25="",INDEX([15]第３表!$F$10:$Q$66,MATCH([15]設定!$D25,[15]第３表!$C$10:$C$66,0),7),[15]設定!$I25))</f>
        <v>141.4</v>
      </c>
      <c r="L49" s="55">
        <f>IF($D49="","",IF([15]設定!$I25="",INDEX([15]第３表!$F$10:$Q$66,MATCH([15]設定!$D25,[15]第３表!$C$10:$C$66,0),8),[15]設定!$I25))</f>
        <v>15.5</v>
      </c>
      <c r="M49" s="56">
        <f>IF($D49="","",IF([15]設定!$I25="",INDEX([15]第３表!$F$10:$Q$66,MATCH([15]設定!$D25,[15]第３表!$C$10:$C$66,0),9),[15]設定!$I25))</f>
        <v>18.100000000000001</v>
      </c>
      <c r="N49" s="56">
        <f>IF($D49="","",IF([15]設定!$I25="",INDEX([15]第３表!$F$10:$Q$66,MATCH([15]設定!$D25,[15]第３表!$C$10:$C$66,0),10),[15]設定!$I25))</f>
        <v>140.69999999999999</v>
      </c>
      <c r="O49" s="56">
        <f>IF($D49="","",IF([15]設定!$I25="",INDEX([15]第３表!$F$10:$Q$66,MATCH([15]設定!$D25,[15]第３表!$C$10:$C$66,0),11),[15]設定!$I25))</f>
        <v>132.30000000000001</v>
      </c>
      <c r="P49" s="57">
        <f>IF($D49="","",IF([15]設定!$I25="",INDEX([15]第３表!$F$10:$Q$66,MATCH([15]設定!$D25,[15]第３表!$C$10:$C$66,0),12),[15]設定!$I25))</f>
        <v>8.4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IF($D50="","",IF([15]設定!$I26="",INDEX([15]第３表!$F$10:$Q$66,MATCH([15]設定!$D26,[15]第３表!$C$10:$C$66,0),1),[15]設定!$I26))</f>
        <v>20.2</v>
      </c>
      <c r="F50" s="52">
        <f>IF($D50="","",IF([15]設定!$I26="",INDEX([15]第３表!$F$10:$Q$66,MATCH([15]設定!$D26,[15]第３表!$C$10:$C$66,0),2),[15]設定!$I26))</f>
        <v>178.1</v>
      </c>
      <c r="G50" s="52">
        <f>IF($D50="","",IF([15]設定!$I26="",INDEX([15]第３表!$F$10:$Q$66,MATCH([15]設定!$D26,[15]第３表!$C$10:$C$66,0),3),[15]設定!$I26))</f>
        <v>146.30000000000001</v>
      </c>
      <c r="H50" s="53">
        <f>IF($D50="","",IF([15]設定!$I26="",INDEX([15]第３表!$F$10:$Q$66,MATCH([15]設定!$D26,[15]第３表!$C$10:$C$66,0),4),[15]設定!$I26))</f>
        <v>31.8</v>
      </c>
      <c r="I50" s="54">
        <f>IF($D50="","",IF([15]設定!$I26="",INDEX([15]第３表!$F$10:$Q$66,MATCH([15]設定!$D26,[15]第３表!$C$10:$C$66,0),5),[15]設定!$I26))</f>
        <v>20.3</v>
      </c>
      <c r="J50" s="54">
        <f>IF($D50="","",IF([15]設定!$I26="",INDEX([15]第３表!$F$10:$Q$66,MATCH([15]設定!$D26,[15]第３表!$C$10:$C$66,0),6),[15]設定!$I26))</f>
        <v>184.5</v>
      </c>
      <c r="K50" s="54">
        <f>IF($D50="","",IF([15]設定!$I26="",INDEX([15]第３表!$F$10:$Q$66,MATCH([15]設定!$D26,[15]第３表!$C$10:$C$66,0),7),[15]設定!$I26))</f>
        <v>148.4</v>
      </c>
      <c r="L50" s="55">
        <f>IF($D50="","",IF([15]設定!$I26="",INDEX([15]第３表!$F$10:$Q$66,MATCH([15]設定!$D26,[15]第３表!$C$10:$C$66,0),8),[15]設定!$I26))</f>
        <v>36.1</v>
      </c>
      <c r="M50" s="56">
        <f>IF($D50="","",IF([15]設定!$I26="",INDEX([15]第３表!$F$10:$Q$66,MATCH([15]設定!$D26,[15]第３表!$C$10:$C$66,0),9),[15]設定!$I26))</f>
        <v>19.600000000000001</v>
      </c>
      <c r="N50" s="56">
        <f>IF($D50="","",IF([15]設定!$I26="",INDEX([15]第３表!$F$10:$Q$66,MATCH([15]設定!$D26,[15]第３表!$C$10:$C$66,0),10),[15]設定!$I26))</f>
        <v>139.30000000000001</v>
      </c>
      <c r="O50" s="56">
        <f>IF($D50="","",IF([15]設定!$I26="",INDEX([15]第３表!$F$10:$Q$66,MATCH([15]設定!$D26,[15]第３表!$C$10:$C$66,0),11),[15]設定!$I26))</f>
        <v>133.5</v>
      </c>
      <c r="P50" s="57">
        <f>IF($D50="","",IF([15]設定!$I26="",INDEX([15]第３表!$F$10:$Q$66,MATCH([15]設定!$D26,[15]第３表!$C$10:$C$66,0),12),[15]設定!$I26))</f>
        <v>5.8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IF($D51="","",IF([15]設定!$I27="",INDEX([15]第３表!$F$10:$Q$66,MATCH([15]設定!$D27,[15]第３表!$C$10:$C$66,0),1),[15]設定!$I27))</f>
        <v>18.8</v>
      </c>
      <c r="F51" s="52">
        <f>IF($D51="","",IF([15]設定!$I27="",INDEX([15]第３表!$F$10:$Q$66,MATCH([15]設定!$D27,[15]第３表!$C$10:$C$66,0),2),[15]設定!$I27))</f>
        <v>155.69999999999999</v>
      </c>
      <c r="G51" s="52">
        <f>IF($D51="","",IF([15]設定!$I27="",INDEX([15]第３表!$F$10:$Q$66,MATCH([15]設定!$D27,[15]第３表!$C$10:$C$66,0),3),[15]設定!$I27))</f>
        <v>143.1</v>
      </c>
      <c r="H51" s="53">
        <f>IF($D51="","",IF([15]設定!$I27="",INDEX([15]第３表!$F$10:$Q$66,MATCH([15]設定!$D27,[15]第３表!$C$10:$C$66,0),4),[15]設定!$I27))</f>
        <v>12.6</v>
      </c>
      <c r="I51" s="54">
        <f>IF($D51="","",IF([15]設定!$I27="",INDEX([15]第３表!$F$10:$Q$66,MATCH([15]設定!$D27,[15]第３表!$C$10:$C$66,0),5),[15]設定!$I27))</f>
        <v>18.7</v>
      </c>
      <c r="J51" s="54">
        <f>IF($D51="","",IF([15]設定!$I27="",INDEX([15]第３表!$F$10:$Q$66,MATCH([15]設定!$D27,[15]第３表!$C$10:$C$66,0),6),[15]設定!$I27))</f>
        <v>155.69999999999999</v>
      </c>
      <c r="K51" s="54">
        <f>IF($D51="","",IF([15]設定!$I27="",INDEX([15]第３表!$F$10:$Q$66,MATCH([15]設定!$D27,[15]第３表!$C$10:$C$66,0),7),[15]設定!$I27))</f>
        <v>143</v>
      </c>
      <c r="L51" s="55">
        <f>IF($D51="","",IF([15]設定!$I27="",INDEX([15]第３表!$F$10:$Q$66,MATCH([15]設定!$D27,[15]第３表!$C$10:$C$66,0),8),[15]設定!$I27))</f>
        <v>12.7</v>
      </c>
      <c r="M51" s="56">
        <f>IF($D51="","",IF([15]設定!$I27="",INDEX([15]第３表!$F$10:$Q$66,MATCH([15]設定!$D27,[15]第３表!$C$10:$C$66,0),9),[15]設定!$I27))</f>
        <v>19</v>
      </c>
      <c r="N51" s="56">
        <f>IF($D51="","",IF([15]設定!$I27="",INDEX([15]第３表!$F$10:$Q$66,MATCH([15]設定!$D27,[15]第３表!$C$10:$C$66,0),10),[15]設定!$I27))</f>
        <v>155.6</v>
      </c>
      <c r="O51" s="56">
        <f>IF($D51="","",IF([15]設定!$I27="",INDEX([15]第３表!$F$10:$Q$66,MATCH([15]設定!$D27,[15]第３表!$C$10:$C$66,0),11),[15]設定!$I27))</f>
        <v>143.30000000000001</v>
      </c>
      <c r="P51" s="57">
        <f>IF($D51="","",IF([15]設定!$I27="",INDEX([15]第３表!$F$10:$Q$66,MATCH([15]設定!$D27,[15]第３表!$C$10:$C$66,0),12),[15]設定!$I27))</f>
        <v>12.3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IF($D52="","",IF([15]設定!$I28="",INDEX([15]第３表!$F$10:$Q$66,MATCH([15]設定!$D28,[15]第３表!$C$10:$C$66,0),1),[15]設定!$I28))</f>
        <v>19.2</v>
      </c>
      <c r="F52" s="52">
        <f>IF($D52="","",IF([15]設定!$I28="",INDEX([15]第３表!$F$10:$Q$66,MATCH([15]設定!$D28,[15]第３表!$C$10:$C$66,0),2),[15]設定!$I28))</f>
        <v>160.6</v>
      </c>
      <c r="G52" s="52">
        <f>IF($D52="","",IF([15]設定!$I28="",INDEX([15]第３表!$F$10:$Q$66,MATCH([15]設定!$D28,[15]第３表!$C$10:$C$66,0),3),[15]設定!$I28))</f>
        <v>138.9</v>
      </c>
      <c r="H52" s="53">
        <f>IF($D52="","",IF([15]設定!$I28="",INDEX([15]第３表!$F$10:$Q$66,MATCH([15]設定!$D28,[15]第３表!$C$10:$C$66,0),4),[15]設定!$I28))</f>
        <v>21.7</v>
      </c>
      <c r="I52" s="54">
        <f>IF($D52="","",IF([15]設定!$I28="",INDEX([15]第３表!$F$10:$Q$66,MATCH([15]設定!$D28,[15]第３表!$C$10:$C$66,0),5),[15]設定!$I28))</f>
        <v>19.399999999999999</v>
      </c>
      <c r="J52" s="54">
        <f>IF($D52="","",IF([15]設定!$I28="",INDEX([15]第３表!$F$10:$Q$66,MATCH([15]設定!$D28,[15]第３表!$C$10:$C$66,0),6),[15]設定!$I28))</f>
        <v>165.1</v>
      </c>
      <c r="K52" s="54">
        <f>IF($D52="","",IF([15]設定!$I28="",INDEX([15]第３表!$F$10:$Q$66,MATCH([15]設定!$D28,[15]第３表!$C$10:$C$66,0),7),[15]設定!$I28))</f>
        <v>140.80000000000001</v>
      </c>
      <c r="L52" s="55">
        <f>IF($D52="","",IF([15]設定!$I28="",INDEX([15]第３表!$F$10:$Q$66,MATCH([15]設定!$D28,[15]第３表!$C$10:$C$66,0),8),[15]設定!$I28))</f>
        <v>24.3</v>
      </c>
      <c r="M52" s="56">
        <f>IF($D52="","",IF([15]設定!$I28="",INDEX([15]第３表!$F$10:$Q$66,MATCH([15]設定!$D28,[15]第３表!$C$10:$C$66,0),9),[15]設定!$I28))</f>
        <v>17.8</v>
      </c>
      <c r="N52" s="56">
        <f>IF($D52="","",IF([15]設定!$I28="",INDEX([15]第３表!$F$10:$Q$66,MATCH([15]設定!$D28,[15]第３表!$C$10:$C$66,0),10),[15]設定!$I28))</f>
        <v>135.1</v>
      </c>
      <c r="O52" s="56">
        <f>IF($D52="","",IF([15]設定!$I28="",INDEX([15]第３表!$F$10:$Q$66,MATCH([15]設定!$D28,[15]第３表!$C$10:$C$66,0),11),[15]設定!$I28))</f>
        <v>127.8</v>
      </c>
      <c r="P52" s="57">
        <f>IF($D52="","",IF([15]設定!$I28="",INDEX([15]第３表!$F$10:$Q$66,MATCH([15]設定!$D28,[15]第３表!$C$10:$C$66,0),12),[15]設定!$I28))</f>
        <v>7.3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IF($D53="","",IF([15]設定!$I29="",INDEX([15]第３表!$F$10:$Q$66,MATCH([15]設定!$D29,[15]第３表!$C$10:$C$66,0),1),[15]設定!$I29))</f>
        <v>18.2</v>
      </c>
      <c r="F53" s="52">
        <f>IF($D53="","",IF([15]設定!$I29="",INDEX([15]第３表!$F$10:$Q$66,MATCH([15]設定!$D29,[15]第３表!$C$10:$C$66,0),2),[15]設定!$I29))</f>
        <v>127.8</v>
      </c>
      <c r="G53" s="52">
        <f>IF($D53="","",IF([15]設定!$I29="",INDEX([15]第３表!$F$10:$Q$66,MATCH([15]設定!$D29,[15]第３表!$C$10:$C$66,0),3),[15]設定!$I29))</f>
        <v>119.7</v>
      </c>
      <c r="H53" s="53">
        <f>IF($D53="","",IF([15]設定!$I29="",INDEX([15]第３表!$F$10:$Q$66,MATCH([15]設定!$D29,[15]第３表!$C$10:$C$66,0),4),[15]設定!$I29))</f>
        <v>8.1</v>
      </c>
      <c r="I53" s="54">
        <f>IF($D53="","",IF([15]設定!$I29="",INDEX([15]第３表!$F$10:$Q$66,MATCH([15]設定!$D29,[15]第３表!$C$10:$C$66,0),5),[15]設定!$I29))</f>
        <v>19.600000000000001</v>
      </c>
      <c r="J53" s="54">
        <f>IF($D53="","",IF([15]設定!$I29="",INDEX([15]第３表!$F$10:$Q$66,MATCH([15]設定!$D29,[15]第３表!$C$10:$C$66,0),6),[15]設定!$I29))</f>
        <v>152.9</v>
      </c>
      <c r="K53" s="54">
        <f>IF($D53="","",IF([15]設定!$I29="",INDEX([15]第３表!$F$10:$Q$66,MATCH([15]設定!$D29,[15]第３表!$C$10:$C$66,0),7),[15]設定!$I29))</f>
        <v>139.4</v>
      </c>
      <c r="L53" s="55">
        <f>IF($D53="","",IF([15]設定!$I29="",INDEX([15]第３表!$F$10:$Q$66,MATCH([15]設定!$D29,[15]第３表!$C$10:$C$66,0),8),[15]設定!$I29))</f>
        <v>13.5</v>
      </c>
      <c r="M53" s="56">
        <f>IF($D53="","",IF([15]設定!$I29="",INDEX([15]第３表!$F$10:$Q$66,MATCH([15]設定!$D29,[15]第３表!$C$10:$C$66,0),9),[15]設定!$I29))</f>
        <v>17.3</v>
      </c>
      <c r="N53" s="56">
        <f>IF($D53="","",IF([15]設定!$I29="",INDEX([15]第３表!$F$10:$Q$66,MATCH([15]設定!$D29,[15]第３表!$C$10:$C$66,0),10),[15]設定!$I29))</f>
        <v>110.3</v>
      </c>
      <c r="O53" s="56">
        <f>IF($D53="","",IF([15]設定!$I29="",INDEX([15]第３表!$F$10:$Q$66,MATCH([15]設定!$D29,[15]第３表!$C$10:$C$66,0),11),[15]設定!$I29))</f>
        <v>105.9</v>
      </c>
      <c r="P53" s="57">
        <f>IF($D53="","",IF([15]設定!$I29="",INDEX([15]第３表!$F$10:$Q$66,MATCH([15]設定!$D29,[15]第３表!$C$10:$C$66,0),12),[15]設定!$I29))</f>
        <v>4.4000000000000004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 t="str">
        <f>IF($D54="","",IF([15]設定!$I30="",INDEX([15]第３表!$F$10:$Q$66,MATCH([15]設定!$D30,[15]第３表!$C$10:$C$66,0),1),[15]設定!$I30))</f>
        <v>x</v>
      </c>
      <c r="F54" s="52" t="str">
        <f>IF($D54="","",IF([15]設定!$I30="",INDEX([15]第３表!$F$10:$Q$66,MATCH([15]設定!$D30,[15]第３表!$C$10:$C$66,0),2),[15]設定!$I30))</f>
        <v>x</v>
      </c>
      <c r="G54" s="52" t="str">
        <f>IF($D54="","",IF([15]設定!$I30="",INDEX([15]第３表!$F$10:$Q$66,MATCH([15]設定!$D30,[15]第３表!$C$10:$C$66,0),3),[15]設定!$I30))</f>
        <v>x</v>
      </c>
      <c r="H54" s="53" t="str">
        <f>IF($D54="","",IF([15]設定!$I30="",INDEX([15]第３表!$F$10:$Q$66,MATCH([15]設定!$D30,[15]第３表!$C$10:$C$66,0),4),[15]設定!$I30))</f>
        <v>x</v>
      </c>
      <c r="I54" s="54" t="str">
        <f>IF($D54="","",IF([15]設定!$I30="",INDEX([15]第３表!$F$10:$Q$66,MATCH([15]設定!$D30,[15]第３表!$C$10:$C$66,0),5),[15]設定!$I30))</f>
        <v>x</v>
      </c>
      <c r="J54" s="54" t="str">
        <f>IF($D54="","",IF([15]設定!$I30="",INDEX([15]第３表!$F$10:$Q$66,MATCH([15]設定!$D30,[15]第３表!$C$10:$C$66,0),6),[15]設定!$I30))</f>
        <v>x</v>
      </c>
      <c r="K54" s="54" t="str">
        <f>IF($D54="","",IF([15]設定!$I30="",INDEX([15]第３表!$F$10:$Q$66,MATCH([15]設定!$D30,[15]第３表!$C$10:$C$66,0),7),[15]設定!$I30))</f>
        <v>x</v>
      </c>
      <c r="L54" s="55" t="str">
        <f>IF($D54="","",IF([15]設定!$I30="",INDEX([15]第３表!$F$10:$Q$66,MATCH([15]設定!$D30,[15]第３表!$C$10:$C$66,0),8),[15]設定!$I30))</f>
        <v>x</v>
      </c>
      <c r="M54" s="56" t="str">
        <f>IF($D54="","",IF([15]設定!$I30="",INDEX([15]第３表!$F$10:$Q$66,MATCH([15]設定!$D30,[15]第３表!$C$10:$C$66,0),9),[15]設定!$I30))</f>
        <v>x</v>
      </c>
      <c r="N54" s="56" t="str">
        <f>IF($D54="","",IF([15]設定!$I30="",INDEX([15]第３表!$F$10:$Q$66,MATCH([15]設定!$D30,[15]第３表!$C$10:$C$66,0),10),[15]設定!$I30))</f>
        <v>x</v>
      </c>
      <c r="O54" s="56" t="str">
        <f>IF($D54="","",IF([15]設定!$I30="",INDEX([15]第３表!$F$10:$Q$66,MATCH([15]設定!$D30,[15]第３表!$C$10:$C$66,0),11),[15]設定!$I30))</f>
        <v>x</v>
      </c>
      <c r="P54" s="57" t="str">
        <f>IF($D54="","",IF([15]設定!$I30="",INDEX([15]第３表!$F$10:$Q$66,MATCH([15]設定!$D30,[15]第３表!$C$10:$C$66,0),12),[15]設定!$I30))</f>
        <v>x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IF($D55="","",IF([15]設定!$I31="",INDEX([15]第３表!$F$10:$Q$66,MATCH([15]設定!$D31,[15]第３表!$C$10:$C$66,0),1),[15]設定!$I31))</f>
        <v>19.899999999999999</v>
      </c>
      <c r="F55" s="52">
        <f>IF($D55="","",IF([15]設定!$I31="",INDEX([15]第３表!$F$10:$Q$66,MATCH([15]設定!$D31,[15]第３表!$C$10:$C$66,0),2),[15]設定!$I31))</f>
        <v>157.19999999999999</v>
      </c>
      <c r="G55" s="52">
        <f>IF($D55="","",IF([15]設定!$I31="",INDEX([15]第３表!$F$10:$Q$66,MATCH([15]設定!$D31,[15]第３表!$C$10:$C$66,0),3),[15]設定!$I31))</f>
        <v>150.80000000000001</v>
      </c>
      <c r="H55" s="52">
        <f>IF($D55="","",IF([15]設定!$I31="",INDEX([15]第３表!$F$10:$Q$66,MATCH([15]設定!$D31,[15]第３表!$C$10:$C$66,0),4),[15]設定!$I31))</f>
        <v>6.4</v>
      </c>
      <c r="I55" s="54">
        <f>IF($D55="","",IF([15]設定!$I31="",INDEX([15]第３表!$F$10:$Q$66,MATCH([15]設定!$D31,[15]第３表!$C$10:$C$66,0),5),[15]設定!$I31))</f>
        <v>20.8</v>
      </c>
      <c r="J55" s="54">
        <f>IF($D55="","",IF([15]設定!$I31="",INDEX([15]第３表!$F$10:$Q$66,MATCH([15]設定!$D31,[15]第３表!$C$10:$C$66,0),6),[15]設定!$I31))</f>
        <v>172.1</v>
      </c>
      <c r="K55" s="54">
        <f>IF($D55="","",IF([15]設定!$I31="",INDEX([15]第３表!$F$10:$Q$66,MATCH([15]設定!$D31,[15]第３表!$C$10:$C$66,0),7),[15]設定!$I31))</f>
        <v>162.6</v>
      </c>
      <c r="L55" s="55">
        <f>IF($D55="","",IF([15]設定!$I31="",INDEX([15]第３表!$F$10:$Q$66,MATCH([15]設定!$D31,[15]第３表!$C$10:$C$66,0),8),[15]設定!$I31))</f>
        <v>9.5</v>
      </c>
      <c r="M55" s="56">
        <f>IF($D55="","",IF([15]設定!$I31="",INDEX([15]第３表!$F$10:$Q$66,MATCH([15]設定!$D31,[15]第３表!$C$10:$C$66,0),9),[15]設定!$I31))</f>
        <v>18.3</v>
      </c>
      <c r="N55" s="56">
        <f>IF($D55="","",IF([15]設定!$I31="",INDEX([15]第３表!$F$10:$Q$66,MATCH([15]設定!$D31,[15]第３表!$C$10:$C$66,0),10),[15]設定!$I31))</f>
        <v>130.6</v>
      </c>
      <c r="O55" s="56">
        <f>IF($D55="","",IF([15]設定!$I31="",INDEX([15]第３表!$F$10:$Q$66,MATCH([15]設定!$D31,[15]第３表!$C$10:$C$66,0),11),[15]設定!$I31))</f>
        <v>129.69999999999999</v>
      </c>
      <c r="P55" s="57">
        <f>IF($D55="","",IF([15]設定!$I31="",INDEX([15]第３表!$F$10:$Q$66,MATCH([15]設定!$D31,[15]第３表!$C$10:$C$66,0),12),[15]設定!$I31))</f>
        <v>0.9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IF($D56="","",IF([15]設定!$I32="",INDEX([15]第３表!$F$10:$Q$66,MATCH([15]設定!$D32,[15]第３表!$C$10:$C$66,0),1),[15]設定!$I32))</f>
        <v>18.2</v>
      </c>
      <c r="F56" s="52">
        <f>IF($D56="","",IF([15]設定!$I32="",INDEX([15]第３表!$F$10:$Q$66,MATCH([15]設定!$D32,[15]第３表!$C$10:$C$66,0),2),[15]設定!$I32))</f>
        <v>143.19999999999999</v>
      </c>
      <c r="G56" s="52">
        <f>IF($D56="","",IF([15]設定!$I32="",INDEX([15]第３表!$F$10:$Q$66,MATCH([15]設定!$D32,[15]第３表!$C$10:$C$66,0),3),[15]設定!$I32))</f>
        <v>135.1</v>
      </c>
      <c r="H56" s="53">
        <f>IF($D56="","",IF([15]設定!$I32="",INDEX([15]第３表!$F$10:$Q$66,MATCH([15]設定!$D32,[15]第３表!$C$10:$C$66,0),4),[15]設定!$I32))</f>
        <v>8.1</v>
      </c>
      <c r="I56" s="54">
        <f>IF($D56="","",IF([15]設定!$I32="",INDEX([15]第３表!$F$10:$Q$66,MATCH([15]設定!$D32,[15]第３表!$C$10:$C$66,0),5),[15]設定!$I32))</f>
        <v>18.399999999999999</v>
      </c>
      <c r="J56" s="54">
        <f>IF($D56="","",IF([15]設定!$I32="",INDEX([15]第３表!$F$10:$Q$66,MATCH([15]設定!$D32,[15]第３表!$C$10:$C$66,0),6),[15]設定!$I32))</f>
        <v>145.6</v>
      </c>
      <c r="K56" s="54">
        <f>IF($D56="","",IF([15]設定!$I32="",INDEX([15]第３表!$F$10:$Q$66,MATCH([15]設定!$D32,[15]第３表!$C$10:$C$66,0),7),[15]設定!$I32))</f>
        <v>136.19999999999999</v>
      </c>
      <c r="L56" s="55">
        <f>IF($D56="","",IF([15]設定!$I32="",INDEX([15]第３表!$F$10:$Q$66,MATCH([15]設定!$D32,[15]第３表!$C$10:$C$66,0),8),[15]設定!$I32))</f>
        <v>9.4</v>
      </c>
      <c r="M56" s="56">
        <f>IF($D56="","",IF([15]設定!$I32="",INDEX([15]第３表!$F$10:$Q$66,MATCH([15]設定!$D32,[15]第３表!$C$10:$C$66,0),9),[15]設定!$I32))</f>
        <v>17.399999999999999</v>
      </c>
      <c r="N56" s="56">
        <f>IF($D56="","",IF([15]設定!$I32="",INDEX([15]第３表!$F$10:$Q$66,MATCH([15]設定!$D32,[15]第３表!$C$10:$C$66,0),10),[15]設定!$I32))</f>
        <v>133.1</v>
      </c>
      <c r="O56" s="56">
        <f>IF($D56="","",IF([15]設定!$I32="",INDEX([15]第３表!$F$10:$Q$66,MATCH([15]設定!$D32,[15]第３表!$C$10:$C$66,0),11),[15]設定!$I32))</f>
        <v>130.6</v>
      </c>
      <c r="P56" s="57">
        <f>IF($D56="","",IF([15]設定!$I32="",INDEX([15]第３表!$F$10:$Q$66,MATCH([15]設定!$D32,[15]第３表!$C$10:$C$66,0),12),[15]設定!$I32))</f>
        <v>2.5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IF($D57="","",IF([15]設定!$I33="",INDEX([15]第３表!$F$10:$Q$66,MATCH([15]設定!$D33,[15]第３表!$C$10:$C$66,0),1),[15]設定!$I33))</f>
        <v>15.5</v>
      </c>
      <c r="F57" s="52">
        <f>IF($D57="","",IF([15]設定!$I33="",INDEX([15]第３表!$F$10:$Q$66,MATCH([15]設定!$D33,[15]第３表!$C$10:$C$66,0),2),[15]設定!$I33))</f>
        <v>99.7</v>
      </c>
      <c r="G57" s="52">
        <f>IF($D57="","",IF([15]設定!$I33="",INDEX([15]第３表!$F$10:$Q$66,MATCH([15]設定!$D33,[15]第３表!$C$10:$C$66,0),3),[15]設定!$I33))</f>
        <v>94.5</v>
      </c>
      <c r="H57" s="53">
        <f>IF($D57="","",IF([15]設定!$I33="",INDEX([15]第３表!$F$10:$Q$66,MATCH([15]設定!$D33,[15]第３表!$C$10:$C$66,0),4),[15]設定!$I33))</f>
        <v>5.2</v>
      </c>
      <c r="I57" s="54">
        <f>IF($D57="","",IF([15]設定!$I33="",INDEX([15]第３表!$F$10:$Q$66,MATCH([15]設定!$D33,[15]第３表!$C$10:$C$66,0),5),[15]設定!$I33))</f>
        <v>16.399999999999999</v>
      </c>
      <c r="J57" s="54">
        <f>IF($D57="","",IF([15]設定!$I33="",INDEX([15]第３表!$F$10:$Q$66,MATCH([15]設定!$D33,[15]第３表!$C$10:$C$66,0),6),[15]設定!$I33))</f>
        <v>111.2</v>
      </c>
      <c r="K57" s="54">
        <f>IF($D57="","",IF([15]設定!$I33="",INDEX([15]第３表!$F$10:$Q$66,MATCH([15]設定!$D33,[15]第３表!$C$10:$C$66,0),7),[15]設定!$I33))</f>
        <v>103.2</v>
      </c>
      <c r="L57" s="55">
        <f>IF($D57="","",IF([15]設定!$I33="",INDEX([15]第３表!$F$10:$Q$66,MATCH([15]設定!$D33,[15]第３表!$C$10:$C$66,0),8),[15]設定!$I33))</f>
        <v>8</v>
      </c>
      <c r="M57" s="56">
        <f>IF($D57="","",IF([15]設定!$I33="",INDEX([15]第３表!$F$10:$Q$66,MATCH([15]設定!$D33,[15]第３表!$C$10:$C$66,0),9),[15]設定!$I33))</f>
        <v>15.1</v>
      </c>
      <c r="N57" s="56">
        <f>IF($D57="","",IF([15]設定!$I33="",INDEX([15]第３表!$F$10:$Q$66,MATCH([15]設定!$D33,[15]第３表!$C$10:$C$66,0),10),[15]設定!$I33))</f>
        <v>93.3</v>
      </c>
      <c r="O57" s="56">
        <f>IF($D57="","",IF([15]設定!$I33="",INDEX([15]第３表!$F$10:$Q$66,MATCH([15]設定!$D33,[15]第３表!$C$10:$C$66,0),11),[15]設定!$I33))</f>
        <v>89.7</v>
      </c>
      <c r="P57" s="57">
        <f>IF($D57="","",IF([15]設定!$I33="",INDEX([15]第３表!$F$10:$Q$66,MATCH([15]設定!$D33,[15]第３表!$C$10:$C$66,0),12),[15]設定!$I33))</f>
        <v>3.6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f>IF($D58="","",IF([15]設定!$I34="",INDEX([15]第３表!$F$10:$Q$66,MATCH([15]設定!$D34,[15]第３表!$C$10:$C$66,0),1),[15]設定!$I34))</f>
        <v>15.8</v>
      </c>
      <c r="F58" s="52">
        <f>IF($D58="","",IF([15]設定!$I34="",INDEX([15]第３表!$F$10:$Q$66,MATCH([15]設定!$D34,[15]第３表!$C$10:$C$66,0),2),[15]設定!$I34))</f>
        <v>138.30000000000001</v>
      </c>
      <c r="G58" s="52">
        <f>IF($D58="","",IF([15]設定!$I34="",INDEX([15]第３表!$F$10:$Q$66,MATCH([15]設定!$D34,[15]第３表!$C$10:$C$66,0),3),[15]設定!$I34))</f>
        <v>128.9</v>
      </c>
      <c r="H58" s="53">
        <f>IF($D58="","",IF([15]設定!$I34="",INDEX([15]第３表!$F$10:$Q$66,MATCH([15]設定!$D34,[15]第３表!$C$10:$C$66,0),4),[15]設定!$I34))</f>
        <v>9.4</v>
      </c>
      <c r="I58" s="54">
        <f>IF($D58="","",IF([15]設定!$I34="",INDEX([15]第３表!$F$10:$Q$66,MATCH([15]設定!$D34,[15]第３表!$C$10:$C$66,0),5),[15]設定!$I34))</f>
        <v>15.7</v>
      </c>
      <c r="J58" s="54">
        <f>IF($D58="","",IF([15]設定!$I34="",INDEX([15]第３表!$F$10:$Q$66,MATCH([15]設定!$D34,[15]第３表!$C$10:$C$66,0),6),[15]設定!$I34))</f>
        <v>140.5</v>
      </c>
      <c r="K58" s="54">
        <f>IF($D58="","",IF([15]設定!$I34="",INDEX([15]第３表!$F$10:$Q$66,MATCH([15]設定!$D34,[15]第３表!$C$10:$C$66,0),7),[15]設定!$I34))</f>
        <v>129.9</v>
      </c>
      <c r="L58" s="55">
        <f>IF($D58="","",IF([15]設定!$I34="",INDEX([15]第３表!$F$10:$Q$66,MATCH([15]設定!$D34,[15]第３表!$C$10:$C$66,0),8),[15]設定!$I34))</f>
        <v>10.6</v>
      </c>
      <c r="M58" s="56">
        <f>IF($D58="","",IF([15]設定!$I34="",INDEX([15]第３表!$F$10:$Q$66,MATCH([15]設定!$D34,[15]第３表!$C$10:$C$66,0),9),[15]設定!$I34))</f>
        <v>15.9</v>
      </c>
      <c r="N58" s="56">
        <f>IF($D58="","",IF([15]設定!$I34="",INDEX([15]第３表!$F$10:$Q$66,MATCH([15]設定!$D34,[15]第３表!$C$10:$C$66,0),10),[15]設定!$I34))</f>
        <v>134.6</v>
      </c>
      <c r="O58" s="56">
        <f>IF($D58="","",IF([15]設定!$I34="",INDEX([15]第３表!$F$10:$Q$66,MATCH([15]設定!$D34,[15]第３表!$C$10:$C$66,0),11),[15]設定!$I34))</f>
        <v>127.1</v>
      </c>
      <c r="P58" s="57">
        <f>IF($D58="","",IF([15]設定!$I34="",INDEX([15]第３表!$F$10:$Q$66,MATCH([15]設定!$D34,[15]第３表!$C$10:$C$66,0),12),[15]設定!$I34))</f>
        <v>7.5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IF($D59="","",IF([15]設定!$I35="",INDEX([15]第３表!$F$10:$Q$66,MATCH([15]設定!$D35,[15]第３表!$C$10:$C$66,0),1),[15]設定!$I35))</f>
        <v>13.2</v>
      </c>
      <c r="F59" s="52">
        <f>IF($D59="","",IF([15]設定!$I35="",INDEX([15]第３表!$F$10:$Q$66,MATCH([15]設定!$D35,[15]第３表!$C$10:$C$66,0),2),[15]設定!$I35))</f>
        <v>113.1</v>
      </c>
      <c r="G59" s="52">
        <f>IF($D59="","",IF([15]設定!$I35="",INDEX([15]第３表!$F$10:$Q$66,MATCH([15]設定!$D35,[15]第３表!$C$10:$C$66,0),3),[15]設定!$I35))</f>
        <v>99.1</v>
      </c>
      <c r="H59" s="53">
        <f>IF($D59="","",IF([15]設定!$I35="",INDEX([15]第３表!$F$10:$Q$66,MATCH([15]設定!$D35,[15]第３表!$C$10:$C$66,0),4),[15]設定!$I35))</f>
        <v>14</v>
      </c>
      <c r="I59" s="54">
        <f>IF($D59="","",IF([15]設定!$I35="",INDEX([15]第３表!$F$10:$Q$66,MATCH([15]設定!$D35,[15]第３表!$C$10:$C$66,0),5),[15]設定!$I35))</f>
        <v>14.6</v>
      </c>
      <c r="J59" s="54">
        <f>IF($D59="","",IF([15]設定!$I35="",INDEX([15]第３表!$F$10:$Q$66,MATCH([15]設定!$D35,[15]第３表!$C$10:$C$66,0),6),[15]設定!$I35))</f>
        <v>129.19999999999999</v>
      </c>
      <c r="K59" s="54">
        <f>IF($D59="","",IF([15]設定!$I35="",INDEX([15]第３表!$F$10:$Q$66,MATCH([15]設定!$D35,[15]第３表!$C$10:$C$66,0),7),[15]設定!$I35))</f>
        <v>110.6</v>
      </c>
      <c r="L59" s="55">
        <f>IF($D59="","",IF([15]設定!$I35="",INDEX([15]第３表!$F$10:$Q$66,MATCH([15]設定!$D35,[15]第３表!$C$10:$C$66,0),8),[15]設定!$I35))</f>
        <v>18.600000000000001</v>
      </c>
      <c r="M59" s="56">
        <f>IF($D59="","",IF([15]設定!$I35="",INDEX([15]第３表!$F$10:$Q$66,MATCH([15]設定!$D35,[15]第３表!$C$10:$C$66,0),9),[15]設定!$I35))</f>
        <v>12</v>
      </c>
      <c r="N59" s="56">
        <f>IF($D59="","",IF([15]設定!$I35="",INDEX([15]第３表!$F$10:$Q$66,MATCH([15]設定!$D35,[15]第３表!$C$10:$C$66,0),10),[15]設定!$I35))</f>
        <v>98</v>
      </c>
      <c r="O59" s="56">
        <f>IF($D59="","",IF([15]設定!$I35="",INDEX([15]第３表!$F$10:$Q$66,MATCH([15]設定!$D35,[15]第３表!$C$10:$C$66,0),11),[15]設定!$I35))</f>
        <v>88.3</v>
      </c>
      <c r="P59" s="57">
        <f>IF($D59="","",IF([15]設定!$I35="",INDEX([15]第３表!$F$10:$Q$66,MATCH([15]設定!$D35,[15]第３表!$C$10:$C$66,0),12),[15]設定!$I35))</f>
        <v>9.6999999999999993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IF($D60="","",IF([15]設定!$I36="",INDEX([15]第３表!$F$10:$Q$66,MATCH([15]設定!$D36,[15]第３表!$C$10:$C$66,0),1),[15]設定!$I36))</f>
        <v>19.2</v>
      </c>
      <c r="F60" s="52">
        <f>IF($D60="","",IF([15]設定!$I36="",INDEX([15]第３表!$F$10:$Q$66,MATCH([15]設定!$D36,[15]第３表!$C$10:$C$66,0),2),[15]設定!$I36))</f>
        <v>142.1</v>
      </c>
      <c r="G60" s="52">
        <f>IF($D60="","",IF([15]設定!$I36="",INDEX([15]第３表!$F$10:$Q$66,MATCH([15]設定!$D36,[15]第３表!$C$10:$C$66,0),3),[15]設定!$I36))</f>
        <v>137.6</v>
      </c>
      <c r="H60" s="53">
        <f>IF($D60="","",IF([15]設定!$I36="",INDEX([15]第３表!$F$10:$Q$66,MATCH([15]設定!$D36,[15]第３表!$C$10:$C$66,0),4),[15]設定!$I36))</f>
        <v>4.5</v>
      </c>
      <c r="I60" s="54">
        <f>IF($D60="","",IF([15]設定!$I36="",INDEX([15]第３表!$F$10:$Q$66,MATCH([15]設定!$D36,[15]第３表!$C$10:$C$66,0),5),[15]設定!$I36))</f>
        <v>19.8</v>
      </c>
      <c r="J60" s="54">
        <f>IF($D60="","",IF([15]設定!$I36="",INDEX([15]第３表!$F$10:$Q$66,MATCH([15]設定!$D36,[15]第３表!$C$10:$C$66,0),6),[15]設定!$I36))</f>
        <v>152.9</v>
      </c>
      <c r="K60" s="54">
        <f>IF($D60="","",IF([15]設定!$I36="",INDEX([15]第３表!$F$10:$Q$66,MATCH([15]設定!$D36,[15]第３表!$C$10:$C$66,0),7),[15]設定!$I36))</f>
        <v>147</v>
      </c>
      <c r="L60" s="55">
        <f>IF($D60="","",IF([15]設定!$I36="",INDEX([15]第３表!$F$10:$Q$66,MATCH([15]設定!$D36,[15]第３表!$C$10:$C$66,0),8),[15]設定!$I36))</f>
        <v>5.9</v>
      </c>
      <c r="M60" s="56">
        <f>IF($D60="","",IF([15]設定!$I36="",INDEX([15]第３表!$F$10:$Q$66,MATCH([15]設定!$D36,[15]第３表!$C$10:$C$66,0),9),[15]設定!$I36))</f>
        <v>18.899999999999999</v>
      </c>
      <c r="N60" s="56">
        <f>IF($D60="","",IF([15]設定!$I36="",INDEX([15]第３表!$F$10:$Q$66,MATCH([15]設定!$D36,[15]第３表!$C$10:$C$66,0),10),[15]設定!$I36))</f>
        <v>138.4</v>
      </c>
      <c r="O60" s="56">
        <f>IF($D60="","",IF([15]設定!$I36="",INDEX([15]第３表!$F$10:$Q$66,MATCH([15]設定!$D36,[15]第３表!$C$10:$C$66,0),11),[15]設定!$I36))</f>
        <v>134.4</v>
      </c>
      <c r="P60" s="57">
        <f>IF($D60="","",IF([15]設定!$I36="",INDEX([15]第３表!$F$10:$Q$66,MATCH([15]設定!$D36,[15]第３表!$C$10:$C$66,0),12),[15]設定!$I36))</f>
        <v>4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IF($D61="","",IF([15]設定!$I37="",INDEX([15]第３表!$F$10:$Q$66,MATCH([15]設定!$D37,[15]第３表!$C$10:$C$66,0),1),[15]設定!$I37))</f>
        <v>19.3</v>
      </c>
      <c r="F61" s="52">
        <f>IF($D61="","",IF([15]設定!$I37="",INDEX([15]第３表!$F$10:$Q$66,MATCH([15]設定!$D37,[15]第３表!$C$10:$C$66,0),2),[15]設定!$I37))</f>
        <v>148.9</v>
      </c>
      <c r="G61" s="52">
        <f>IF($D61="","",IF([15]設定!$I37="",INDEX([15]第３表!$F$10:$Q$66,MATCH([15]設定!$D37,[15]第３表!$C$10:$C$66,0),3),[15]設定!$I37))</f>
        <v>144.30000000000001</v>
      </c>
      <c r="H61" s="53">
        <f>IF($D61="","",IF([15]設定!$I37="",INDEX([15]第３表!$F$10:$Q$66,MATCH([15]設定!$D37,[15]第３表!$C$10:$C$66,0),4),[15]設定!$I37))</f>
        <v>4.5999999999999996</v>
      </c>
      <c r="I61" s="54">
        <f>IF($D61="","",IF([15]設定!$I37="",INDEX([15]第３表!$F$10:$Q$66,MATCH([15]設定!$D37,[15]第３表!$C$10:$C$66,0),5),[15]設定!$I37))</f>
        <v>19.8</v>
      </c>
      <c r="J61" s="54">
        <f>IF($D61="","",IF([15]設定!$I37="",INDEX([15]第３表!$F$10:$Q$66,MATCH([15]設定!$D37,[15]第３表!$C$10:$C$66,0),6),[15]設定!$I37))</f>
        <v>156</v>
      </c>
      <c r="K61" s="54">
        <f>IF($D61="","",IF([15]設定!$I37="",INDEX([15]第３表!$F$10:$Q$66,MATCH([15]設定!$D37,[15]第３表!$C$10:$C$66,0),7),[15]設定!$I37))</f>
        <v>151.1</v>
      </c>
      <c r="L61" s="55">
        <f>IF($D61="","",IF([15]設定!$I37="",INDEX([15]第３表!$F$10:$Q$66,MATCH([15]設定!$D37,[15]第３表!$C$10:$C$66,0),8),[15]設定!$I37))</f>
        <v>4.9000000000000004</v>
      </c>
      <c r="M61" s="56">
        <f>IF($D61="","",IF([15]設定!$I37="",INDEX([15]第３表!$F$10:$Q$66,MATCH([15]設定!$D37,[15]第３表!$C$10:$C$66,0),9),[15]設定!$I37))</f>
        <v>18.399999999999999</v>
      </c>
      <c r="N61" s="56">
        <f>IF($D61="","",IF([15]設定!$I37="",INDEX([15]第３表!$F$10:$Q$66,MATCH([15]設定!$D37,[15]第３表!$C$10:$C$66,0),10),[15]設定!$I37))</f>
        <v>137.5</v>
      </c>
      <c r="O61" s="56">
        <f>IF($D61="","",IF([15]設定!$I37="",INDEX([15]第３表!$F$10:$Q$66,MATCH([15]設定!$D37,[15]第３表!$C$10:$C$66,0),11),[15]設定!$I37))</f>
        <v>133.5</v>
      </c>
      <c r="P61" s="57">
        <f>IF($D61="","",IF([15]設定!$I37="",INDEX([15]第３表!$F$10:$Q$66,MATCH([15]設定!$D37,[15]第３表!$C$10:$C$66,0),12),[15]設定!$I37))</f>
        <v>4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IF($D62="","",IF([15]設定!$I38="",INDEX([15]第３表!$F$10:$Q$66,MATCH([15]設定!$D38,[15]第３表!$C$10:$C$66,0),1),[15]設定!$I38))</f>
        <v>18.399999999999999</v>
      </c>
      <c r="F62" s="52">
        <f>IF($D62="","",IF([15]設定!$I38="",INDEX([15]第３表!$F$10:$Q$66,MATCH([15]設定!$D38,[15]第３表!$C$10:$C$66,0),2),[15]設定!$I38))</f>
        <v>139.1</v>
      </c>
      <c r="G62" s="52">
        <f>IF($D62="","",IF([15]設定!$I38="",INDEX([15]第３表!$F$10:$Q$66,MATCH([15]設定!$D38,[15]第３表!$C$10:$C$66,0),3),[15]設定!$I38))</f>
        <v>130.80000000000001</v>
      </c>
      <c r="H62" s="53">
        <f>IF($D62="","",IF([15]設定!$I38="",INDEX([15]第３表!$F$10:$Q$66,MATCH([15]設定!$D38,[15]第３表!$C$10:$C$66,0),4),[15]設定!$I38))</f>
        <v>8.3000000000000007</v>
      </c>
      <c r="I62" s="54">
        <f>IF($D62="","",IF([15]設定!$I38="",INDEX([15]第３表!$F$10:$Q$66,MATCH([15]設定!$D38,[15]第３表!$C$10:$C$66,0),5),[15]設定!$I38))</f>
        <v>18.7</v>
      </c>
      <c r="J62" s="54">
        <f>IF($D62="","",IF([15]設定!$I38="",INDEX([15]第３表!$F$10:$Q$66,MATCH([15]設定!$D38,[15]第３表!$C$10:$C$66,0),6),[15]設定!$I38))</f>
        <v>153.5</v>
      </c>
      <c r="K62" s="54">
        <f>IF($D62="","",IF([15]設定!$I38="",INDEX([15]第３表!$F$10:$Q$66,MATCH([15]設定!$D38,[15]第３表!$C$10:$C$66,0),7),[15]設定!$I38))</f>
        <v>141.80000000000001</v>
      </c>
      <c r="L62" s="55">
        <f>IF($D62="","",IF([15]設定!$I38="",INDEX([15]第３表!$F$10:$Q$66,MATCH([15]設定!$D38,[15]第３表!$C$10:$C$66,0),8),[15]設定!$I38))</f>
        <v>11.7</v>
      </c>
      <c r="M62" s="56">
        <f>IF($D62="","",IF([15]設定!$I38="",INDEX([15]第３表!$F$10:$Q$66,MATCH([15]設定!$D38,[15]第３表!$C$10:$C$66,0),9),[15]設定!$I38))</f>
        <v>18.2</v>
      </c>
      <c r="N62" s="56">
        <f>IF($D62="","",IF([15]設定!$I38="",INDEX([15]第３表!$F$10:$Q$66,MATCH([15]設定!$D38,[15]第３表!$C$10:$C$66,0),10),[15]設定!$I38))</f>
        <v>123</v>
      </c>
      <c r="O62" s="56">
        <f>IF($D62="","",IF([15]設定!$I38="",INDEX([15]第３表!$F$10:$Q$66,MATCH([15]設定!$D38,[15]第３表!$C$10:$C$66,0),11),[15]設定!$I38))</f>
        <v>118.5</v>
      </c>
      <c r="P62" s="57">
        <f>IF($D62="","",IF([15]設定!$I38="",INDEX([15]第３表!$F$10:$Q$66,MATCH([15]設定!$D38,[15]第３表!$C$10:$C$66,0),12),[15]設定!$I38))</f>
        <v>4.5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IF($D63="","",IF([15]設定!$I39="",INDEX([15]第３表!$F$10:$Q$66,MATCH([15]設定!$D39,[15]第３表!$C$10:$C$66,0),1),[15]設定!$I39))</f>
        <v>19</v>
      </c>
      <c r="F63" s="48">
        <f>IF($D63="","",IF([15]設定!$I39="",INDEX([15]第３表!$F$10:$Q$66,MATCH([15]設定!$D39,[15]第３表!$C$10:$C$66,0),2),[15]設定!$I39))</f>
        <v>151.1</v>
      </c>
      <c r="G63" s="48">
        <f>IF($D63="","",IF([15]設定!$I39="",INDEX([15]第３表!$F$10:$Q$66,MATCH([15]設定!$D39,[15]第３表!$C$10:$C$66,0),3),[15]設定!$I39))</f>
        <v>139.69999999999999</v>
      </c>
      <c r="H63" s="64">
        <f>IF($D63="","",IF([15]設定!$I39="",INDEX([15]第３表!$F$10:$Q$66,MATCH([15]設定!$D39,[15]第３表!$C$10:$C$66,0),4),[15]設定!$I39))</f>
        <v>11.4</v>
      </c>
      <c r="I63" s="48">
        <f>IF($D63="","",IF([15]設定!$I39="",INDEX([15]第３表!$F$10:$Q$66,MATCH([15]設定!$D39,[15]第３表!$C$10:$C$66,0),5),[15]設定!$I39))</f>
        <v>19.3</v>
      </c>
      <c r="J63" s="48">
        <f>IF($D63="","",IF([15]設定!$I39="",INDEX([15]第３表!$F$10:$Q$66,MATCH([15]設定!$D39,[15]第３表!$C$10:$C$66,0),6),[15]設定!$I39))</f>
        <v>160.69999999999999</v>
      </c>
      <c r="K63" s="48">
        <f>IF($D63="","",IF([15]設定!$I39="",INDEX([15]第３表!$F$10:$Q$66,MATCH([15]設定!$D39,[15]第３表!$C$10:$C$66,0),7),[15]設定!$I39))</f>
        <v>146.80000000000001</v>
      </c>
      <c r="L63" s="64">
        <f>IF($D63="","",IF([15]設定!$I39="",INDEX([15]第３表!$F$10:$Q$66,MATCH([15]設定!$D39,[15]第３表!$C$10:$C$66,0),8),[15]設定!$I39))</f>
        <v>13.9</v>
      </c>
      <c r="M63" s="48">
        <f>IF($D63="","",IF([15]設定!$I39="",INDEX([15]第３表!$F$10:$Q$66,MATCH([15]設定!$D39,[15]第３表!$C$10:$C$66,0),9),[15]設定!$I39))</f>
        <v>18.8</v>
      </c>
      <c r="N63" s="48">
        <f>IF($D63="","",IF([15]設定!$I39="",INDEX([15]第３表!$F$10:$Q$66,MATCH([15]設定!$D39,[15]第３表!$C$10:$C$66,0),10),[15]設定!$I39))</f>
        <v>142.6</v>
      </c>
      <c r="O63" s="48">
        <f>IF($D63="","",IF([15]設定!$I39="",INDEX([15]第３表!$F$10:$Q$66,MATCH([15]設定!$D39,[15]第３表!$C$10:$C$66,0),11),[15]設定!$I39))</f>
        <v>133.5</v>
      </c>
      <c r="P63" s="64">
        <f>IF($D63="","",IF([15]設定!$I39="",INDEX([15]第３表!$F$10:$Q$66,MATCH([15]設定!$D39,[15]第３表!$C$10:$C$66,0),12),[15]設定!$I39))</f>
        <v>9.1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IF($D64="","",IF([15]設定!$I40="",INDEX([15]第３表!$F$10:$Q$66,MATCH([15]設定!$D40,[15]第３表!$C$10:$C$66,0),1),[15]設定!$I40))</f>
        <v>18.7</v>
      </c>
      <c r="F64" s="52">
        <f>IF($D64="","",IF([15]設定!$I40="",INDEX([15]第３表!$F$10:$Q$66,MATCH([15]設定!$D40,[15]第３表!$C$10:$C$66,0),2),[15]設定!$I40))</f>
        <v>154.69999999999999</v>
      </c>
      <c r="G64" s="52">
        <f>IF($D64="","",IF([15]設定!$I40="",INDEX([15]第３表!$F$10:$Q$66,MATCH([15]設定!$D40,[15]第３表!$C$10:$C$66,0),3),[15]設定!$I40))</f>
        <v>140.5</v>
      </c>
      <c r="H64" s="55">
        <f>IF($D64="","",IF([15]設定!$I40="",INDEX([15]第３表!$F$10:$Q$66,MATCH([15]設定!$D40,[15]第３表!$C$10:$C$66,0),4),[15]設定!$I40))</f>
        <v>14.2</v>
      </c>
      <c r="I64" s="52">
        <f>IF($D64="","",IF([15]設定!$I40="",INDEX([15]第３表!$F$10:$Q$66,MATCH([15]設定!$D40,[15]第３表!$C$10:$C$66,0),5),[15]設定!$I40))</f>
        <v>19.399999999999999</v>
      </c>
      <c r="J64" s="52">
        <f>IF($D64="","",IF([15]設定!$I40="",INDEX([15]第３表!$F$10:$Q$66,MATCH([15]設定!$D40,[15]第３表!$C$10:$C$66,0),6),[15]設定!$I40))</f>
        <v>159.4</v>
      </c>
      <c r="K64" s="52">
        <f>IF($D64="","",IF([15]設定!$I40="",INDEX([15]第３表!$F$10:$Q$66,MATCH([15]設定!$D40,[15]第３表!$C$10:$C$66,0),7),[15]設定!$I40))</f>
        <v>143.69999999999999</v>
      </c>
      <c r="L64" s="55">
        <f>IF($D64="","",IF([15]設定!$I40="",INDEX([15]第３表!$F$10:$Q$66,MATCH([15]設定!$D40,[15]第３表!$C$10:$C$66,0),8),[15]設定!$I40))</f>
        <v>15.7</v>
      </c>
      <c r="M64" s="52">
        <f>IF($D64="","",IF([15]設定!$I40="",INDEX([15]第３表!$F$10:$Q$66,MATCH([15]設定!$D40,[15]第３表!$C$10:$C$66,0),9),[15]設定!$I40))</f>
        <v>18.3</v>
      </c>
      <c r="N64" s="52">
        <f>IF($D64="","",IF([15]設定!$I40="",INDEX([15]第３表!$F$10:$Q$66,MATCH([15]設定!$D40,[15]第３表!$C$10:$C$66,0),10),[15]設定!$I40))</f>
        <v>151.30000000000001</v>
      </c>
      <c r="O64" s="52">
        <f>IF($D64="","",IF([15]設定!$I40="",INDEX([15]第３表!$F$10:$Q$66,MATCH([15]設定!$D40,[15]第３表!$C$10:$C$66,0),11),[15]設定!$I40))</f>
        <v>138.19999999999999</v>
      </c>
      <c r="P64" s="55">
        <f>IF($D64="","",IF([15]設定!$I40="",INDEX([15]第３表!$F$10:$Q$66,MATCH([15]設定!$D40,[15]第３表!$C$10:$C$66,0),12),[15]設定!$I40))</f>
        <v>13.1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IF($D65="","",IF([15]設定!$I41="",INDEX([15]第３表!$F$10:$Q$66,MATCH([15]設定!$D41,[15]第３表!$C$10:$C$66,0),1),[15]設定!$I41))</f>
        <v>18.600000000000001</v>
      </c>
      <c r="F65" s="52">
        <f>IF($D65="","",IF([15]設定!$I41="",INDEX([15]第３表!$F$10:$Q$66,MATCH([15]設定!$D41,[15]第３表!$C$10:$C$66,0),2),[15]設定!$I41))</f>
        <v>146.80000000000001</v>
      </c>
      <c r="G65" s="52">
        <f>IF($D65="","",IF([15]設定!$I41="",INDEX([15]第３表!$F$10:$Q$66,MATCH([15]設定!$D41,[15]第３表!$C$10:$C$66,0),3),[15]設定!$I41))</f>
        <v>139.1</v>
      </c>
      <c r="H65" s="55">
        <f>IF($D65="","",IF([15]設定!$I41="",INDEX([15]第３表!$F$10:$Q$66,MATCH([15]設定!$D41,[15]第３表!$C$10:$C$66,0),4),[15]設定!$I41))</f>
        <v>7.7</v>
      </c>
      <c r="I65" s="52">
        <f>IF($D65="","",IF([15]設定!$I41="",INDEX([15]第３表!$F$10:$Q$66,MATCH([15]設定!$D41,[15]第３表!$C$10:$C$66,0),5),[15]設定!$I41))</f>
        <v>18.3</v>
      </c>
      <c r="J65" s="52">
        <f>IF($D65="","",IF([15]設定!$I41="",INDEX([15]第３表!$F$10:$Q$66,MATCH([15]設定!$D41,[15]第３表!$C$10:$C$66,0),6),[15]設定!$I41))</f>
        <v>149.9</v>
      </c>
      <c r="K65" s="52">
        <f>IF($D65="","",IF([15]設定!$I41="",INDEX([15]第３表!$F$10:$Q$66,MATCH([15]設定!$D41,[15]第３表!$C$10:$C$66,0),7),[15]設定!$I41))</f>
        <v>140.80000000000001</v>
      </c>
      <c r="L65" s="55">
        <f>IF($D65="","",IF([15]設定!$I41="",INDEX([15]第３表!$F$10:$Q$66,MATCH([15]設定!$D41,[15]第３表!$C$10:$C$66,0),8),[15]設定!$I41))</f>
        <v>9.1</v>
      </c>
      <c r="M65" s="52">
        <f>IF($D65="","",IF([15]設定!$I41="",INDEX([15]第３表!$F$10:$Q$66,MATCH([15]設定!$D41,[15]第３表!$C$10:$C$66,0),9),[15]設定!$I41))</f>
        <v>19.8</v>
      </c>
      <c r="N65" s="52">
        <f>IF($D65="","",IF([15]設定!$I41="",INDEX([15]第３表!$F$10:$Q$66,MATCH([15]設定!$D41,[15]第３表!$C$10:$C$66,0),10),[15]設定!$I41))</f>
        <v>133.19999999999999</v>
      </c>
      <c r="O65" s="52">
        <f>IF($D65="","",IF([15]設定!$I41="",INDEX([15]第３表!$F$10:$Q$66,MATCH([15]設定!$D41,[15]第３表!$C$10:$C$66,0),11),[15]設定!$I41))</f>
        <v>131.4</v>
      </c>
      <c r="P65" s="55">
        <f>IF($D65="","",IF([15]設定!$I41="",INDEX([15]第３表!$F$10:$Q$66,MATCH([15]設定!$D41,[15]第３表!$C$10:$C$66,0),12),[15]設定!$I41))</f>
        <v>1.8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IF($D66="","",IF([15]設定!$I42="",INDEX([15]第３表!$F$10:$Q$66,MATCH([15]設定!$D42,[15]第３表!$C$10:$C$66,0),1),[15]設定!$I42))</f>
        <v>x</v>
      </c>
      <c r="F66" s="52" t="str">
        <f>IF($D66="","",IF([15]設定!$I42="",INDEX([15]第３表!$F$10:$Q$66,MATCH([15]設定!$D42,[15]第３表!$C$10:$C$66,0),2),[15]設定!$I42))</f>
        <v>x</v>
      </c>
      <c r="G66" s="52" t="str">
        <f>IF($D66="","",IF([15]設定!$I42="",INDEX([15]第３表!$F$10:$Q$66,MATCH([15]設定!$D42,[15]第３表!$C$10:$C$66,0),3),[15]設定!$I42))</f>
        <v>x</v>
      </c>
      <c r="H66" s="55" t="str">
        <f>IF($D66="","",IF([15]設定!$I42="",INDEX([15]第３表!$F$10:$Q$66,MATCH([15]設定!$D42,[15]第３表!$C$10:$C$66,0),4),[15]設定!$I42))</f>
        <v>x</v>
      </c>
      <c r="I66" s="52" t="str">
        <f>IF($D66="","",IF([15]設定!$I42="",INDEX([15]第３表!$F$10:$Q$66,MATCH([15]設定!$D42,[15]第３表!$C$10:$C$66,0),5),[15]設定!$I42))</f>
        <v>x</v>
      </c>
      <c r="J66" s="52" t="str">
        <f>IF($D66="","",IF([15]設定!$I42="",INDEX([15]第３表!$F$10:$Q$66,MATCH([15]設定!$D42,[15]第３表!$C$10:$C$66,0),6),[15]設定!$I42))</f>
        <v>x</v>
      </c>
      <c r="K66" s="52" t="str">
        <f>IF($D66="","",IF([15]設定!$I42="",INDEX([15]第３表!$F$10:$Q$66,MATCH([15]設定!$D42,[15]第３表!$C$10:$C$66,0),7),[15]設定!$I42))</f>
        <v>x</v>
      </c>
      <c r="L66" s="55" t="str">
        <f>IF($D66="","",IF([15]設定!$I42="",INDEX([15]第３表!$F$10:$Q$66,MATCH([15]設定!$D42,[15]第３表!$C$10:$C$66,0),8),[15]設定!$I42))</f>
        <v>x</v>
      </c>
      <c r="M66" s="52" t="str">
        <f>IF($D66="","",IF([15]設定!$I42="",INDEX([15]第３表!$F$10:$Q$66,MATCH([15]設定!$D42,[15]第３表!$C$10:$C$66,0),9),[15]設定!$I42))</f>
        <v>x</v>
      </c>
      <c r="N66" s="52" t="str">
        <f>IF($D66="","",IF([15]設定!$I42="",INDEX([15]第３表!$F$10:$Q$66,MATCH([15]設定!$D42,[15]第３表!$C$10:$C$66,0),10),[15]設定!$I42))</f>
        <v>x</v>
      </c>
      <c r="O66" s="52" t="str">
        <f>IF($D66="","",IF([15]設定!$I42="",INDEX([15]第３表!$F$10:$Q$66,MATCH([15]設定!$D42,[15]第３表!$C$10:$C$66,0),11),[15]設定!$I42))</f>
        <v>x</v>
      </c>
      <c r="P66" s="55" t="str">
        <f>IF($D66="","",IF([15]設定!$I42="",INDEX([15]第３表!$F$10:$Q$66,MATCH([15]設定!$D42,[15]第３表!$C$10:$C$66,0),12),[15]設定!$I42))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>
        <f>IF($D67="","",IF([15]設定!$I43="",INDEX([15]第３表!$F$10:$Q$66,MATCH([15]設定!$D43,[15]第３表!$C$10:$C$66,0),1),[15]設定!$I43))</f>
        <v>18.899999999999999</v>
      </c>
      <c r="F67" s="52">
        <f>IF($D67="","",IF([15]設定!$I43="",INDEX([15]第３表!$F$10:$Q$66,MATCH([15]設定!$D43,[15]第３表!$C$10:$C$66,0),2),[15]設定!$I43))</f>
        <v>147.9</v>
      </c>
      <c r="G67" s="52">
        <f>IF($D67="","",IF([15]設定!$I43="",INDEX([15]第３表!$F$10:$Q$66,MATCH([15]設定!$D43,[15]第３表!$C$10:$C$66,0),3),[15]設定!$I43))</f>
        <v>138.80000000000001</v>
      </c>
      <c r="H67" s="55">
        <f>IF($D67="","",IF([15]設定!$I43="",INDEX([15]第３表!$F$10:$Q$66,MATCH([15]設定!$D43,[15]第３表!$C$10:$C$66,0),4),[15]設定!$I43))</f>
        <v>9.1</v>
      </c>
      <c r="I67" s="52">
        <f>IF($D67="","",IF([15]設定!$I43="",INDEX([15]第３表!$F$10:$Q$66,MATCH([15]設定!$D43,[15]第３表!$C$10:$C$66,0),5),[15]設定!$I43))</f>
        <v>19</v>
      </c>
      <c r="J67" s="52">
        <f>IF($D67="","",IF([15]設定!$I43="",INDEX([15]第３表!$F$10:$Q$66,MATCH([15]設定!$D43,[15]第３表!$C$10:$C$66,0),6),[15]設定!$I43))</f>
        <v>151</v>
      </c>
      <c r="K67" s="52">
        <f>IF($D67="","",IF([15]設定!$I43="",INDEX([15]第３表!$F$10:$Q$66,MATCH([15]設定!$D43,[15]第３表!$C$10:$C$66,0),7),[15]設定!$I43))</f>
        <v>139.19999999999999</v>
      </c>
      <c r="L67" s="55">
        <f>IF($D67="","",IF([15]設定!$I43="",INDEX([15]第３表!$F$10:$Q$66,MATCH([15]設定!$D43,[15]第３表!$C$10:$C$66,0),8),[15]設定!$I43))</f>
        <v>11.8</v>
      </c>
      <c r="M67" s="52">
        <f>IF($D67="","",IF([15]設定!$I43="",INDEX([15]第３表!$F$10:$Q$66,MATCH([15]設定!$D43,[15]第３表!$C$10:$C$66,0),9),[15]設定!$I43))</f>
        <v>18.600000000000001</v>
      </c>
      <c r="N67" s="52">
        <f>IF($D67="","",IF([15]設定!$I43="",INDEX([15]第３表!$F$10:$Q$66,MATCH([15]設定!$D43,[15]第３表!$C$10:$C$66,0),10),[15]設定!$I43))</f>
        <v>140.30000000000001</v>
      </c>
      <c r="O67" s="52">
        <f>IF($D67="","",IF([15]設定!$I43="",INDEX([15]第３表!$F$10:$Q$66,MATCH([15]設定!$D43,[15]第３表!$C$10:$C$66,0),11),[15]設定!$I43))</f>
        <v>137.80000000000001</v>
      </c>
      <c r="P67" s="55">
        <f>IF($D67="","",IF([15]設定!$I43="",INDEX([15]第３表!$F$10:$Q$66,MATCH([15]設定!$D43,[15]第３表!$C$10:$C$66,0),12),[15]設定!$I43))</f>
        <v>2.5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IF($D68="","",IF([15]設定!$I44="",INDEX([15]第３表!$F$10:$Q$66,MATCH([15]設定!$D44,[15]第３表!$C$10:$C$66,0),1),[15]設定!$I44))</f>
        <v>19.3</v>
      </c>
      <c r="F68" s="52">
        <f>IF($D68="","",IF([15]設定!$I44="",INDEX([15]第３表!$F$10:$Q$66,MATCH([15]設定!$D44,[15]第３表!$C$10:$C$66,0),2),[15]設定!$I44))</f>
        <v>158.9</v>
      </c>
      <c r="G68" s="52">
        <f>IF($D68="","",IF([15]設定!$I44="",INDEX([15]第３表!$F$10:$Q$66,MATCH([15]設定!$D44,[15]第３表!$C$10:$C$66,0),3),[15]設定!$I44))</f>
        <v>141.6</v>
      </c>
      <c r="H68" s="55">
        <f>IF($D68="","",IF([15]設定!$I44="",INDEX([15]第３表!$F$10:$Q$66,MATCH([15]設定!$D44,[15]第３表!$C$10:$C$66,0),4),[15]設定!$I44))</f>
        <v>17.3</v>
      </c>
      <c r="I68" s="52">
        <f>IF($D68="","",IF([15]設定!$I44="",INDEX([15]第３表!$F$10:$Q$66,MATCH([15]設定!$D44,[15]第３表!$C$10:$C$66,0),5),[15]設定!$I44))</f>
        <v>19.399999999999999</v>
      </c>
      <c r="J68" s="52">
        <f>IF($D68="","",IF([15]設定!$I44="",INDEX([15]第３表!$F$10:$Q$66,MATCH([15]設定!$D44,[15]第３表!$C$10:$C$66,0),6),[15]設定!$I44))</f>
        <v>160.30000000000001</v>
      </c>
      <c r="K68" s="52">
        <f>IF($D68="","",IF([15]設定!$I44="",INDEX([15]第３表!$F$10:$Q$66,MATCH([15]設定!$D44,[15]第３表!$C$10:$C$66,0),7),[15]設定!$I44))</f>
        <v>142</v>
      </c>
      <c r="L68" s="55">
        <f>IF($D68="","",IF([15]設定!$I44="",INDEX([15]第３表!$F$10:$Q$66,MATCH([15]設定!$D44,[15]第３表!$C$10:$C$66,0),8),[15]設定!$I44))</f>
        <v>18.3</v>
      </c>
      <c r="M68" s="52">
        <f>IF($D68="","",IF([15]設定!$I44="",INDEX([15]第３表!$F$10:$Q$66,MATCH([15]設定!$D44,[15]第３表!$C$10:$C$66,0),9),[15]設定!$I44))</f>
        <v>18.2</v>
      </c>
      <c r="N68" s="52">
        <f>IF($D68="","",IF([15]設定!$I44="",INDEX([15]第３表!$F$10:$Q$66,MATCH([15]設定!$D44,[15]第３表!$C$10:$C$66,0),10),[15]設定!$I44))</f>
        <v>141.19999999999999</v>
      </c>
      <c r="O68" s="52">
        <f>IF($D68="","",IF([15]設定!$I44="",INDEX([15]第３表!$F$10:$Q$66,MATCH([15]設定!$D44,[15]第３表!$C$10:$C$66,0),11),[15]設定!$I44))</f>
        <v>136</v>
      </c>
      <c r="P68" s="55">
        <f>IF($D68="","",IF([15]設定!$I44="",INDEX([15]第３表!$F$10:$Q$66,MATCH([15]設定!$D44,[15]第３表!$C$10:$C$66,0),12),[15]設定!$I44))</f>
        <v>5.2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IF($D69="","",IF([15]設定!$I45="",INDEX([15]第３表!$F$10:$Q$66,MATCH([15]設定!$D45,[15]第３表!$C$10:$C$66,0),1),[15]設定!$I45))</f>
        <v>18.5</v>
      </c>
      <c r="F69" s="52">
        <f>IF($D69="","",IF([15]設定!$I45="",INDEX([15]第３表!$F$10:$Q$66,MATCH([15]設定!$D45,[15]第３表!$C$10:$C$66,0),2),[15]設定!$I45))</f>
        <v>138.80000000000001</v>
      </c>
      <c r="G69" s="52">
        <f>IF($D69="","",IF([15]設定!$I45="",INDEX([15]第３表!$F$10:$Q$66,MATCH([15]設定!$D45,[15]第３表!$C$10:$C$66,0),3),[15]設定!$I45))</f>
        <v>132.1</v>
      </c>
      <c r="H69" s="55">
        <f>IF($D69="","",IF([15]設定!$I45="",INDEX([15]第３表!$F$10:$Q$66,MATCH([15]設定!$D45,[15]第３表!$C$10:$C$66,0),4),[15]設定!$I45))</f>
        <v>6.7</v>
      </c>
      <c r="I69" s="52">
        <f>IF($D69="","",IF([15]設定!$I45="",INDEX([15]第３表!$F$10:$Q$66,MATCH([15]設定!$D45,[15]第３表!$C$10:$C$66,0),5),[15]設定!$I45))</f>
        <v>18.8</v>
      </c>
      <c r="J69" s="52">
        <f>IF($D69="","",IF([15]設定!$I45="",INDEX([15]第３表!$F$10:$Q$66,MATCH([15]設定!$D45,[15]第３表!$C$10:$C$66,0),6),[15]設定!$I45))</f>
        <v>153</v>
      </c>
      <c r="K69" s="52">
        <f>IF($D69="","",IF([15]設定!$I45="",INDEX([15]第３表!$F$10:$Q$66,MATCH([15]設定!$D45,[15]第３表!$C$10:$C$66,0),7),[15]設定!$I45))</f>
        <v>143.4</v>
      </c>
      <c r="L69" s="55">
        <f>IF($D69="","",IF([15]設定!$I45="",INDEX([15]第３表!$F$10:$Q$66,MATCH([15]設定!$D45,[15]第３表!$C$10:$C$66,0),8),[15]設定!$I45))</f>
        <v>9.6</v>
      </c>
      <c r="M69" s="52">
        <f>IF($D69="","",IF([15]設定!$I45="",INDEX([15]第３表!$F$10:$Q$66,MATCH([15]設定!$D45,[15]第３表!$C$10:$C$66,0),9),[15]設定!$I45))</f>
        <v>17.7</v>
      </c>
      <c r="N69" s="52">
        <f>IF($D69="","",IF([15]設定!$I45="",INDEX([15]第３表!$F$10:$Q$66,MATCH([15]設定!$D45,[15]第３表!$C$10:$C$66,0),10),[15]設定!$I45))</f>
        <v>109.4</v>
      </c>
      <c r="O69" s="52">
        <f>IF($D69="","",IF([15]設定!$I45="",INDEX([15]第３表!$F$10:$Q$66,MATCH([15]設定!$D45,[15]第３表!$C$10:$C$66,0),11),[15]設定!$I45))</f>
        <v>108.5</v>
      </c>
      <c r="P69" s="55">
        <f>IF($D69="","",IF([15]設定!$I45="",INDEX([15]第３表!$F$10:$Q$66,MATCH([15]設定!$D45,[15]第３表!$C$10:$C$66,0),12),[15]設定!$I45))</f>
        <v>0.9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IF($D70="","",IF([15]設定!$I46="",INDEX([15]第３表!$F$10:$Q$66,MATCH([15]設定!$D46,[15]第３表!$C$10:$C$66,0),1),[15]設定!$I46))</f>
        <v>17.100000000000001</v>
      </c>
      <c r="F70" s="52">
        <f>IF($D70="","",IF([15]設定!$I46="",INDEX([15]第３表!$F$10:$Q$66,MATCH([15]設定!$D46,[15]第３表!$C$10:$C$66,0),2),[15]設定!$I46))</f>
        <v>147.80000000000001</v>
      </c>
      <c r="G70" s="52">
        <f>IF($D70="","",IF([15]設定!$I46="",INDEX([15]第３表!$F$10:$Q$66,MATCH([15]設定!$D46,[15]第３表!$C$10:$C$66,0),3),[15]設定!$I46))</f>
        <v>126</v>
      </c>
      <c r="H70" s="55">
        <f>IF($D70="","",IF([15]設定!$I46="",INDEX([15]第３表!$F$10:$Q$66,MATCH([15]設定!$D46,[15]第３表!$C$10:$C$66,0),4),[15]設定!$I46))</f>
        <v>21.8</v>
      </c>
      <c r="I70" s="52">
        <f>IF($D70="","",IF([15]設定!$I46="",INDEX([15]第３表!$F$10:$Q$66,MATCH([15]設定!$D46,[15]第３表!$C$10:$C$66,0),5),[15]設定!$I46))</f>
        <v>17.100000000000001</v>
      </c>
      <c r="J70" s="52">
        <f>IF($D70="","",IF([15]設定!$I46="",INDEX([15]第３表!$F$10:$Q$66,MATCH([15]設定!$D46,[15]第３表!$C$10:$C$66,0),6),[15]設定!$I46))</f>
        <v>149.1</v>
      </c>
      <c r="K70" s="52">
        <f>IF($D70="","",IF([15]設定!$I46="",INDEX([15]第３表!$F$10:$Q$66,MATCH([15]設定!$D46,[15]第３表!$C$10:$C$66,0),7),[15]設定!$I46))</f>
        <v>125.1</v>
      </c>
      <c r="L70" s="55">
        <f>IF($D70="","",IF([15]設定!$I46="",INDEX([15]第３表!$F$10:$Q$66,MATCH([15]設定!$D46,[15]第３表!$C$10:$C$66,0),8),[15]設定!$I46))</f>
        <v>24</v>
      </c>
      <c r="M70" s="52">
        <f>IF($D70="","",IF([15]設定!$I46="",INDEX([15]第３表!$F$10:$Q$66,MATCH([15]設定!$D46,[15]第３表!$C$10:$C$66,0),9),[15]設定!$I46))</f>
        <v>17</v>
      </c>
      <c r="N70" s="52">
        <f>IF($D70="","",IF([15]設定!$I46="",INDEX([15]第３表!$F$10:$Q$66,MATCH([15]設定!$D46,[15]第３表!$C$10:$C$66,0),10),[15]設定!$I46))</f>
        <v>138.9</v>
      </c>
      <c r="O70" s="52">
        <f>IF($D70="","",IF([15]設定!$I46="",INDEX([15]第３表!$F$10:$Q$66,MATCH([15]設定!$D46,[15]第３表!$C$10:$C$66,0),11),[15]設定!$I46))</f>
        <v>131.6</v>
      </c>
      <c r="P70" s="55">
        <f>IF($D70="","",IF([15]設定!$I46="",INDEX([15]第３表!$F$10:$Q$66,MATCH([15]設定!$D46,[15]第３表!$C$10:$C$66,0),12),[15]設定!$I46))</f>
        <v>7.3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IF($D71="","",IF([15]設定!$I47="",INDEX([15]第３表!$F$10:$Q$66,MATCH([15]設定!$D47,[15]第３表!$C$10:$C$66,0),1),[15]設定!$I47))</f>
        <v>17.8</v>
      </c>
      <c r="F71" s="52">
        <f>IF($D71="","",IF([15]設定!$I47="",INDEX([15]第３表!$F$10:$Q$66,MATCH([15]設定!$D47,[15]第３表!$C$10:$C$66,0),2),[15]設定!$I47))</f>
        <v>137.5</v>
      </c>
      <c r="G71" s="52">
        <f>IF($D71="","",IF([15]設定!$I47="",INDEX([15]第３表!$F$10:$Q$66,MATCH([15]設定!$D47,[15]第３表!$C$10:$C$66,0),3),[15]設定!$I47))</f>
        <v>132.69999999999999</v>
      </c>
      <c r="H71" s="55">
        <f>IF($D71="","",IF([15]設定!$I47="",INDEX([15]第３表!$F$10:$Q$66,MATCH([15]設定!$D47,[15]第３表!$C$10:$C$66,0),4),[15]設定!$I47))</f>
        <v>4.8</v>
      </c>
      <c r="I71" s="52">
        <f>IF($D71="","",IF([15]設定!$I47="",INDEX([15]第３表!$F$10:$Q$66,MATCH([15]設定!$D47,[15]第３表!$C$10:$C$66,0),5),[15]設定!$I47))</f>
        <v>17.7</v>
      </c>
      <c r="J71" s="52">
        <f>IF($D71="","",IF([15]設定!$I47="",INDEX([15]第３表!$F$10:$Q$66,MATCH([15]設定!$D47,[15]第３表!$C$10:$C$66,0),6),[15]設定!$I47))</f>
        <v>140.69999999999999</v>
      </c>
      <c r="K71" s="52">
        <f>IF($D71="","",IF([15]設定!$I47="",INDEX([15]第３表!$F$10:$Q$66,MATCH([15]設定!$D47,[15]第３表!$C$10:$C$66,0),7),[15]設定!$I47))</f>
        <v>134.80000000000001</v>
      </c>
      <c r="L71" s="55">
        <f>IF($D71="","",IF([15]設定!$I47="",INDEX([15]第３表!$F$10:$Q$66,MATCH([15]設定!$D47,[15]第３表!$C$10:$C$66,0),8),[15]設定!$I47))</f>
        <v>5.9</v>
      </c>
      <c r="M71" s="52">
        <f>IF($D71="","",IF([15]設定!$I47="",INDEX([15]第３表!$F$10:$Q$66,MATCH([15]設定!$D47,[15]第３表!$C$10:$C$66,0),9),[15]設定!$I47))</f>
        <v>18.3</v>
      </c>
      <c r="N71" s="52">
        <f>IF($D71="","",IF([15]設定!$I47="",INDEX([15]第３表!$F$10:$Q$66,MATCH([15]設定!$D47,[15]第３表!$C$10:$C$66,0),10),[15]設定!$I47))</f>
        <v>126.2</v>
      </c>
      <c r="O71" s="52">
        <f>IF($D71="","",IF([15]設定!$I47="",INDEX([15]第３表!$F$10:$Q$66,MATCH([15]設定!$D47,[15]第３表!$C$10:$C$66,0),11),[15]設定!$I47))</f>
        <v>125.3</v>
      </c>
      <c r="P71" s="55">
        <f>IF($D71="","",IF([15]設定!$I47="",INDEX([15]第３表!$F$10:$Q$66,MATCH([15]設定!$D47,[15]第３表!$C$10:$C$66,0),12),[15]設定!$I47))</f>
        <v>0.9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IF($D72="","",IF([15]設定!$I48="",INDEX([15]第３表!$F$10:$Q$66,MATCH([15]設定!$D48,[15]第３表!$C$10:$C$66,0),1),[15]設定!$I48))</f>
        <v>18.399999999999999</v>
      </c>
      <c r="F72" s="55">
        <f>IF($D72="","",IF([15]設定!$I48="",INDEX([15]第３表!$F$10:$Q$66,MATCH([15]設定!$D48,[15]第３表!$C$10:$C$66,0),2),[15]設定!$I48))</f>
        <v>151.9</v>
      </c>
      <c r="G72" s="55">
        <f>IF($D72="","",IF([15]設定!$I48="",INDEX([15]第３表!$F$10:$Q$66,MATCH([15]設定!$D48,[15]第３表!$C$10:$C$66,0),3),[15]設定!$I48))</f>
        <v>141.9</v>
      </c>
      <c r="H72" s="55">
        <f>IF($D72="","",IF([15]設定!$I48="",INDEX([15]第３表!$F$10:$Q$66,MATCH([15]設定!$D48,[15]第３表!$C$10:$C$66,0),4),[15]設定!$I48))</f>
        <v>10</v>
      </c>
      <c r="I72" s="55">
        <f>IF($D72="","",IF([15]設定!$I48="",INDEX([15]第３表!$F$10:$Q$66,MATCH([15]設定!$D48,[15]第３表!$C$10:$C$66,0),5),[15]設定!$I48))</f>
        <v>18.600000000000001</v>
      </c>
      <c r="J72" s="55">
        <f>IF($D72="","",IF([15]設定!$I48="",INDEX([15]第３表!$F$10:$Q$66,MATCH([15]設定!$D48,[15]第３表!$C$10:$C$66,0),6),[15]設定!$I48))</f>
        <v>156.19999999999999</v>
      </c>
      <c r="K72" s="55">
        <f>IF($D72="","",IF([15]設定!$I48="",INDEX([15]第３表!$F$10:$Q$66,MATCH([15]設定!$D48,[15]第３表!$C$10:$C$66,0),7),[15]設定!$I48))</f>
        <v>144.19999999999999</v>
      </c>
      <c r="L72" s="55">
        <f>IF($D72="","",IF([15]設定!$I48="",INDEX([15]第３表!$F$10:$Q$66,MATCH([15]設定!$D48,[15]第３表!$C$10:$C$66,0),8),[15]設定!$I48))</f>
        <v>12</v>
      </c>
      <c r="M72" s="55">
        <f>IF($D72="","",IF([15]設定!$I48="",INDEX([15]第３表!$F$10:$Q$66,MATCH([15]設定!$D48,[15]第３表!$C$10:$C$66,0),9),[15]設定!$I48))</f>
        <v>18</v>
      </c>
      <c r="N72" s="55">
        <f>IF($D72="","",IF([15]設定!$I48="",INDEX([15]第３表!$F$10:$Q$66,MATCH([15]設定!$D48,[15]第３表!$C$10:$C$66,0),10),[15]設定!$I48))</f>
        <v>138.9</v>
      </c>
      <c r="O72" s="55">
        <f>IF($D72="","",IF([15]設定!$I48="",INDEX([15]第３表!$F$10:$Q$66,MATCH([15]設定!$D48,[15]第３表!$C$10:$C$66,0),11),[15]設定!$I48))</f>
        <v>135</v>
      </c>
      <c r="P72" s="55">
        <f>IF($D72="","",IF([15]設定!$I48="",INDEX([15]第３表!$F$10:$Q$66,MATCH([15]設定!$D48,[15]第３表!$C$10:$C$66,0),12),[15]設定!$I48))</f>
        <v>3.9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IF($D73="","",IF([15]設定!$I49="",INDEX([15]第３表!$F$10:$Q$66,MATCH([15]設定!$D49,[15]第３表!$C$10:$C$66,0),1),[15]設定!$I49))</f>
        <v>16.2</v>
      </c>
      <c r="F73" s="55">
        <f>IF($D73="","",IF([15]設定!$I49="",INDEX([15]第３表!$F$10:$Q$66,MATCH([15]設定!$D49,[15]第３表!$C$10:$C$66,0),2),[15]設定!$I49))</f>
        <v>138.4</v>
      </c>
      <c r="G73" s="55">
        <f>IF($D73="","",IF([15]設定!$I49="",INDEX([15]第３表!$F$10:$Q$66,MATCH([15]設定!$D49,[15]第３表!$C$10:$C$66,0),3),[15]設定!$I49))</f>
        <v>128.30000000000001</v>
      </c>
      <c r="H73" s="55">
        <f>IF($D73="","",IF([15]設定!$I49="",INDEX([15]第３表!$F$10:$Q$66,MATCH([15]設定!$D49,[15]第３表!$C$10:$C$66,0),4),[15]設定!$I49))</f>
        <v>10.1</v>
      </c>
      <c r="I73" s="55">
        <f>IF($D73="","",IF([15]設定!$I49="",INDEX([15]第３表!$F$10:$Q$66,MATCH([15]設定!$D49,[15]第３表!$C$10:$C$66,0),5),[15]設定!$I49))</f>
        <v>16.5</v>
      </c>
      <c r="J73" s="55">
        <f>IF($D73="","",IF([15]設定!$I49="",INDEX([15]第３表!$F$10:$Q$66,MATCH([15]設定!$D49,[15]第３表!$C$10:$C$66,0),6),[15]設定!$I49))</f>
        <v>141.30000000000001</v>
      </c>
      <c r="K73" s="55">
        <f>IF($D73="","",IF([15]設定!$I49="",INDEX([15]第３表!$F$10:$Q$66,MATCH([15]設定!$D49,[15]第３表!$C$10:$C$66,0),7),[15]設定!$I49))</f>
        <v>129.4</v>
      </c>
      <c r="L73" s="55">
        <f>IF($D73="","",IF([15]設定!$I49="",INDEX([15]第３表!$F$10:$Q$66,MATCH([15]設定!$D49,[15]第３表!$C$10:$C$66,0),8),[15]設定!$I49))</f>
        <v>11.9</v>
      </c>
      <c r="M73" s="55">
        <f>IF($D73="","",IF([15]設定!$I49="",INDEX([15]第３表!$F$10:$Q$66,MATCH([15]設定!$D49,[15]第３表!$C$10:$C$66,0),9),[15]設定!$I49))</f>
        <v>16</v>
      </c>
      <c r="N73" s="55">
        <f>IF($D73="","",IF([15]設定!$I49="",INDEX([15]第３表!$F$10:$Q$66,MATCH([15]設定!$D49,[15]第３表!$C$10:$C$66,0),10),[15]設定!$I49))</f>
        <v>135.80000000000001</v>
      </c>
      <c r="O73" s="55">
        <f>IF($D73="","",IF([15]設定!$I49="",INDEX([15]第３表!$F$10:$Q$66,MATCH([15]設定!$D49,[15]第３表!$C$10:$C$66,0),11),[15]設定!$I49))</f>
        <v>127.3</v>
      </c>
      <c r="P73" s="55">
        <f>IF($D73="","",IF([15]設定!$I49="",INDEX([15]第３表!$F$10:$Q$66,MATCH([15]設定!$D49,[15]第３表!$C$10:$C$66,0),12),[15]設定!$I49))</f>
        <v>8.5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IF($D74="","",IF([15]設定!$I50="",INDEX([15]第３表!$F$10:$Q$66,MATCH([15]設定!$D50,[15]第３表!$C$10:$C$66,0),1),[15]設定!$I50))</f>
        <v>17.600000000000001</v>
      </c>
      <c r="F74" s="55">
        <f>IF($D74="","",IF([15]設定!$I50="",INDEX([15]第３表!$F$10:$Q$66,MATCH([15]設定!$D50,[15]第３表!$C$10:$C$66,0),2),[15]設定!$I50))</f>
        <v>149.9</v>
      </c>
      <c r="G74" s="55">
        <f>IF($D74="","",IF([15]設定!$I50="",INDEX([15]第３表!$F$10:$Q$66,MATCH([15]設定!$D50,[15]第３表!$C$10:$C$66,0),3),[15]設定!$I50))</f>
        <v>137.30000000000001</v>
      </c>
      <c r="H74" s="55">
        <f>IF($D74="","",IF([15]設定!$I50="",INDEX([15]第３表!$F$10:$Q$66,MATCH([15]設定!$D50,[15]第３表!$C$10:$C$66,0),4),[15]設定!$I50))</f>
        <v>12.6</v>
      </c>
      <c r="I74" s="55">
        <f>IF($D74="","",IF([15]設定!$I50="",INDEX([15]第３表!$F$10:$Q$66,MATCH([15]設定!$D50,[15]第３表!$C$10:$C$66,0),5),[15]設定!$I50))</f>
        <v>17.899999999999999</v>
      </c>
      <c r="J74" s="55">
        <f>IF($D74="","",IF([15]設定!$I50="",INDEX([15]第３表!$F$10:$Q$66,MATCH([15]設定!$D50,[15]第３表!$C$10:$C$66,0),6),[15]設定!$I50))</f>
        <v>158.19999999999999</v>
      </c>
      <c r="K74" s="55">
        <f>IF($D74="","",IF([15]設定!$I50="",INDEX([15]第３表!$F$10:$Q$66,MATCH([15]設定!$D50,[15]第３表!$C$10:$C$66,0),7),[15]設定!$I50))</f>
        <v>142.30000000000001</v>
      </c>
      <c r="L74" s="55">
        <f>IF($D74="","",IF([15]設定!$I50="",INDEX([15]第３表!$F$10:$Q$66,MATCH([15]設定!$D50,[15]第３表!$C$10:$C$66,0),8),[15]設定!$I50))</f>
        <v>15.9</v>
      </c>
      <c r="M74" s="55">
        <f>IF($D74="","",IF([15]設定!$I50="",INDEX([15]第３表!$F$10:$Q$66,MATCH([15]設定!$D50,[15]第３表!$C$10:$C$66,0),9),[15]設定!$I50))</f>
        <v>17</v>
      </c>
      <c r="N74" s="55">
        <f>IF($D74="","",IF([15]設定!$I50="",INDEX([15]第３表!$F$10:$Q$66,MATCH([15]設定!$D50,[15]第３表!$C$10:$C$66,0),10),[15]設定!$I50))</f>
        <v>134.1</v>
      </c>
      <c r="O74" s="55">
        <f>IF($D74="","",IF([15]設定!$I50="",INDEX([15]第３表!$F$10:$Q$66,MATCH([15]設定!$D50,[15]第３表!$C$10:$C$66,0),11),[15]設定!$I50))</f>
        <v>127.8</v>
      </c>
      <c r="P74" s="55">
        <f>IF($D74="","",IF([15]設定!$I50="",INDEX([15]第３表!$F$10:$Q$66,MATCH([15]設定!$D50,[15]第３表!$C$10:$C$66,0),12),[15]設定!$I50))</f>
        <v>6.3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IF($D75="","",IF([15]設定!$I51="",INDEX([15]第３表!$F$10:$Q$66,MATCH([15]設定!$D51,[15]第３表!$C$10:$C$66,0),1),[15]設定!$I51))</f>
        <v>17.8</v>
      </c>
      <c r="F75" s="55">
        <f>IF($D75="","",IF([15]設定!$I51="",INDEX([15]第３表!$F$10:$Q$66,MATCH([15]設定!$D51,[15]第３表!$C$10:$C$66,0),2),[15]設定!$I51))</f>
        <v>142.9</v>
      </c>
      <c r="G75" s="55">
        <f>IF($D75="","",IF([15]設定!$I51="",INDEX([15]第３表!$F$10:$Q$66,MATCH([15]設定!$D51,[15]第３表!$C$10:$C$66,0),3),[15]設定!$I51))</f>
        <v>137.1</v>
      </c>
      <c r="H75" s="55">
        <f>IF($D75="","",IF([15]設定!$I51="",INDEX([15]第３表!$F$10:$Q$66,MATCH([15]設定!$D51,[15]第３表!$C$10:$C$66,0),4),[15]設定!$I51))</f>
        <v>5.8</v>
      </c>
      <c r="I75" s="55">
        <f>IF($D75="","",IF([15]設定!$I51="",INDEX([15]第３表!$F$10:$Q$66,MATCH([15]設定!$D51,[15]第３表!$C$10:$C$66,0),5),[15]設定!$I51))</f>
        <v>18.7</v>
      </c>
      <c r="J75" s="55">
        <f>IF($D75="","",IF([15]設定!$I51="",INDEX([15]第３表!$F$10:$Q$66,MATCH([15]設定!$D51,[15]第３表!$C$10:$C$66,0),6),[15]設定!$I51))</f>
        <v>152.30000000000001</v>
      </c>
      <c r="K75" s="55">
        <f>IF($D75="","",IF([15]設定!$I51="",INDEX([15]第３表!$F$10:$Q$66,MATCH([15]設定!$D51,[15]第３表!$C$10:$C$66,0),7),[15]設定!$I51))</f>
        <v>145</v>
      </c>
      <c r="L75" s="55">
        <f>IF($D75="","",IF([15]設定!$I51="",INDEX([15]第３表!$F$10:$Q$66,MATCH([15]設定!$D51,[15]第３表!$C$10:$C$66,0),8),[15]設定!$I51))</f>
        <v>7.3</v>
      </c>
      <c r="M75" s="55">
        <f>IF($D75="","",IF([15]設定!$I51="",INDEX([15]第３表!$F$10:$Q$66,MATCH([15]設定!$D51,[15]第３表!$C$10:$C$66,0),9),[15]設定!$I51))</f>
        <v>16.100000000000001</v>
      </c>
      <c r="N75" s="55">
        <f>IF($D75="","",IF([15]設定!$I51="",INDEX([15]第３表!$F$10:$Q$66,MATCH([15]設定!$D51,[15]第３表!$C$10:$C$66,0),10),[15]設定!$I51))</f>
        <v>123.2</v>
      </c>
      <c r="O75" s="55">
        <f>IF($D75="","",IF([15]設定!$I51="",INDEX([15]第３表!$F$10:$Q$66,MATCH([15]設定!$D51,[15]第３表!$C$10:$C$66,0),11),[15]設定!$I51))</f>
        <v>120.7</v>
      </c>
      <c r="P75" s="55">
        <f>IF($D75="","",IF([15]設定!$I51="",INDEX([15]第３表!$F$10:$Q$66,MATCH([15]設定!$D51,[15]第３表!$C$10:$C$66,0),12),[15]設定!$I51))</f>
        <v>2.5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IF($D76="","",IF([15]設定!$I52="",INDEX([15]第３表!$F$10:$Q$66,MATCH([15]設定!$D52,[15]第３表!$C$10:$C$66,0),1),[15]設定!$I52))</f>
        <v>16.399999999999999</v>
      </c>
      <c r="F76" s="55">
        <f>IF($D76="","",IF([15]設定!$I52="",INDEX([15]第３表!$F$10:$Q$66,MATCH([15]設定!$D52,[15]第３表!$C$10:$C$66,0),2),[15]設定!$I52))</f>
        <v>155.1</v>
      </c>
      <c r="G76" s="55">
        <f>IF($D76="","",IF([15]設定!$I52="",INDEX([15]第３表!$F$10:$Q$66,MATCH([15]設定!$D52,[15]第３表!$C$10:$C$66,0),3),[15]設定!$I52))</f>
        <v>132</v>
      </c>
      <c r="H76" s="55">
        <f>IF($D76="","",IF([15]設定!$I52="",INDEX([15]第３表!$F$10:$Q$66,MATCH([15]設定!$D52,[15]第３表!$C$10:$C$66,0),4),[15]設定!$I52))</f>
        <v>23.1</v>
      </c>
      <c r="I76" s="55">
        <f>IF($D76="","",IF([15]設定!$I52="",INDEX([15]第３表!$F$10:$Q$66,MATCH([15]設定!$D52,[15]第３表!$C$10:$C$66,0),5),[15]設定!$I52))</f>
        <v>16.399999999999999</v>
      </c>
      <c r="J76" s="55">
        <f>IF($D76="","",IF([15]設定!$I52="",INDEX([15]第３表!$F$10:$Q$66,MATCH([15]設定!$D52,[15]第３表!$C$10:$C$66,0),6),[15]設定!$I52))</f>
        <v>157.69999999999999</v>
      </c>
      <c r="K76" s="55">
        <f>IF($D76="","",IF([15]設定!$I52="",INDEX([15]第３表!$F$10:$Q$66,MATCH([15]設定!$D52,[15]第３表!$C$10:$C$66,0),7),[15]設定!$I52))</f>
        <v>133</v>
      </c>
      <c r="L76" s="55">
        <f>IF($D76="","",IF([15]設定!$I52="",INDEX([15]第３表!$F$10:$Q$66,MATCH([15]設定!$D52,[15]第３表!$C$10:$C$66,0),8),[15]設定!$I52))</f>
        <v>24.7</v>
      </c>
      <c r="M76" s="55">
        <f>IF($D76="","",IF([15]設定!$I52="",INDEX([15]第３表!$F$10:$Q$66,MATCH([15]設定!$D52,[15]第３表!$C$10:$C$66,0),9),[15]設定!$I52))</f>
        <v>16.399999999999999</v>
      </c>
      <c r="N76" s="55">
        <f>IF($D76="","",IF([15]設定!$I52="",INDEX([15]第３表!$F$10:$Q$66,MATCH([15]設定!$D52,[15]第３表!$C$10:$C$66,0),10),[15]設定!$I52))</f>
        <v>144.30000000000001</v>
      </c>
      <c r="O76" s="55">
        <f>IF($D76="","",IF([15]設定!$I52="",INDEX([15]第３表!$F$10:$Q$66,MATCH([15]設定!$D52,[15]第３表!$C$10:$C$66,0),11),[15]設定!$I52))</f>
        <v>127.9</v>
      </c>
      <c r="P76" s="55">
        <f>IF($D76="","",IF([15]設定!$I52="",INDEX([15]第３表!$F$10:$Q$66,MATCH([15]設定!$D52,[15]第３表!$C$10:$C$66,0),12),[15]設定!$I52))</f>
        <v>16.399999999999999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IF($D77="","",IF([15]設定!$I53="",INDEX([15]第３表!$F$10:$Q$66,MATCH([15]設定!$D53,[15]第３表!$C$10:$C$66,0),1),[15]設定!$I53))</f>
        <v>19.899999999999999</v>
      </c>
      <c r="F77" s="69">
        <f>IF($D77="","",IF([15]設定!$I53="",INDEX([15]第３表!$F$10:$Q$66,MATCH([15]設定!$D53,[15]第３表!$C$10:$C$66,0),2),[15]設定!$I53))</f>
        <v>163.6</v>
      </c>
      <c r="G77" s="69">
        <f>IF($D77="","",IF([15]設定!$I53="",INDEX([15]第３表!$F$10:$Q$66,MATCH([15]設定!$D53,[15]第３表!$C$10:$C$66,0),3),[15]設定!$I53))</f>
        <v>152.5</v>
      </c>
      <c r="H77" s="69">
        <f>IF($D77="","",IF([15]設定!$I53="",INDEX([15]第３表!$F$10:$Q$66,MATCH([15]設定!$D53,[15]第３表!$C$10:$C$66,0),4),[15]設定!$I53))</f>
        <v>11.1</v>
      </c>
      <c r="I77" s="69">
        <f>IF($D77="","",IF([15]設定!$I53="",INDEX([15]第３表!$F$10:$Q$66,MATCH([15]設定!$D53,[15]第３表!$C$10:$C$66,0),5),[15]設定!$I53))</f>
        <v>19.899999999999999</v>
      </c>
      <c r="J77" s="69">
        <f>IF($D77="","",IF([15]設定!$I53="",INDEX([15]第３表!$F$10:$Q$66,MATCH([15]設定!$D53,[15]第３表!$C$10:$C$66,0),6),[15]設定!$I53))</f>
        <v>163.9</v>
      </c>
      <c r="K77" s="69">
        <f>IF($D77="","",IF([15]設定!$I53="",INDEX([15]第３表!$F$10:$Q$66,MATCH([15]設定!$D53,[15]第３表!$C$10:$C$66,0),7),[15]設定!$I53))</f>
        <v>152.1</v>
      </c>
      <c r="L77" s="69">
        <f>IF($D77="","",IF([15]設定!$I53="",INDEX([15]第３表!$F$10:$Q$66,MATCH([15]設定!$D53,[15]第３表!$C$10:$C$66,0),8),[15]設定!$I53))</f>
        <v>11.8</v>
      </c>
      <c r="M77" s="69">
        <f>IF($D77="","",IF([15]設定!$I53="",INDEX([15]第３表!$F$10:$Q$66,MATCH([15]設定!$D53,[15]第３表!$C$10:$C$66,0),9),[15]設定!$I53))</f>
        <v>19.899999999999999</v>
      </c>
      <c r="N77" s="69">
        <f>IF($D77="","",IF([15]設定!$I53="",INDEX([15]第３表!$F$10:$Q$66,MATCH([15]設定!$D53,[15]第３表!$C$10:$C$66,0),10),[15]設定!$I53))</f>
        <v>162.4</v>
      </c>
      <c r="O77" s="69">
        <f>IF($D77="","",IF([15]設定!$I53="",INDEX([15]第３表!$F$10:$Q$66,MATCH([15]設定!$D53,[15]第３表!$C$10:$C$66,0),11),[15]設定!$I53))</f>
        <v>153.80000000000001</v>
      </c>
      <c r="P77" s="69">
        <f>IF($D77="","",IF([15]設定!$I53="",INDEX([15]第３表!$F$10:$Q$66,MATCH([15]設定!$D53,[15]第３表!$C$10:$C$66,0),12),[15]設定!$I53))</f>
        <v>8.6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IF($D78="","",IF([15]設定!$I54="",INDEX([15]第３表!$F$10:$Q$66,MATCH([15]設定!$D54,[15]第３表!$C$10:$C$66,0),1),[15]設定!$I54))</f>
        <v>17.600000000000001</v>
      </c>
      <c r="F78" s="73">
        <f>IF($D78="","",IF([15]設定!$I54="",INDEX([15]第３表!$F$10:$Q$66,MATCH([15]設定!$D54,[15]第３表!$C$10:$C$66,0),2),[15]設定!$I54))</f>
        <v>143.30000000000001</v>
      </c>
      <c r="G78" s="73">
        <f>IF($D78="","",IF([15]設定!$I54="",INDEX([15]第３表!$F$10:$Q$66,MATCH([15]設定!$D54,[15]第３表!$C$10:$C$66,0),3),[15]設定!$I54))</f>
        <v>135.9</v>
      </c>
      <c r="H78" s="73">
        <f>IF($D78="","",IF([15]設定!$I54="",INDEX([15]第３表!$F$10:$Q$66,MATCH([15]設定!$D54,[15]第３表!$C$10:$C$66,0),4),[15]設定!$I54))</f>
        <v>7.4</v>
      </c>
      <c r="I78" s="73">
        <f>IF($D78="","",IF([15]設定!$I54="",INDEX([15]第３表!$F$10:$Q$66,MATCH([15]設定!$D54,[15]第３表!$C$10:$C$66,0),5),[15]設定!$I54))</f>
        <v>17.399999999999999</v>
      </c>
      <c r="J78" s="73">
        <f>IF($D78="","",IF([15]設定!$I54="",INDEX([15]第３表!$F$10:$Q$66,MATCH([15]設定!$D54,[15]第３表!$C$10:$C$66,0),6),[15]設定!$I54))</f>
        <v>153.6</v>
      </c>
      <c r="K78" s="73">
        <f>IF($D78="","",IF([15]設定!$I54="",INDEX([15]第３表!$F$10:$Q$66,MATCH([15]設定!$D54,[15]第３表!$C$10:$C$66,0),7),[15]設定!$I54))</f>
        <v>141.80000000000001</v>
      </c>
      <c r="L78" s="73">
        <f>IF($D78="","",IF([15]設定!$I54="",INDEX([15]第３表!$F$10:$Q$66,MATCH([15]設定!$D54,[15]第３表!$C$10:$C$66,0),8),[15]設定!$I54))</f>
        <v>11.8</v>
      </c>
      <c r="M78" s="73">
        <f>IF($D78="","",IF([15]設定!$I54="",INDEX([15]第３表!$F$10:$Q$66,MATCH([15]設定!$D54,[15]第３表!$C$10:$C$66,0),9),[15]設定!$I54))</f>
        <v>17.8</v>
      </c>
      <c r="N78" s="73">
        <f>IF($D78="","",IF([15]設定!$I54="",INDEX([15]第３表!$F$10:$Q$66,MATCH([15]設定!$D54,[15]第３表!$C$10:$C$66,0),10),[15]設定!$I54))</f>
        <v>135.19999999999999</v>
      </c>
      <c r="O78" s="73">
        <f>IF($D78="","",IF([15]設定!$I54="",INDEX([15]第３表!$F$10:$Q$66,MATCH([15]設定!$D54,[15]第３表!$C$10:$C$66,0),11),[15]設定!$I54))</f>
        <v>131.30000000000001</v>
      </c>
      <c r="P78" s="73">
        <f>IF($D78="","",IF([15]設定!$I54="",INDEX([15]第３表!$F$10:$Q$66,MATCH([15]設定!$D54,[15]第３表!$C$10:$C$66,0),12),[15]設定!$I54))</f>
        <v>3.9</v>
      </c>
    </row>
  </sheetData>
  <phoneticPr fontId="2"/>
  <printOptions horizontalCentered="1"/>
  <pageMargins left="0.59055118110236227" right="0.59055118110236227" top="0.35433070866141736" bottom="0.59055118110236227" header="0" footer="0.59055118110236227"/>
  <pageSetup paperSize="9" scale="59" orientation="portrait" blackAndWhite="1" cellComments="atEnd" horizontalDpi="300" verticalDpi="300" r:id="rId1"/>
  <headerFooter scaleWithDoc="0" alignWithMargins="0">
    <oddFooter>&amp;C- 15 -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C9ABB-9FA1-40C0-BBAD-83367813A9CA}">
  <dimension ref="A1:R78"/>
  <sheetViews>
    <sheetView showGridLines="0" view="pageBreakPreview" topLeftCell="A8" zoomScale="80" zoomScaleNormal="80" zoomScaleSheetLayoutView="80" workbookViewId="0">
      <selection activeCell="U20" sqref="U20"/>
    </sheetView>
  </sheetViews>
  <sheetFormatPr defaultColWidth="9.69921875" defaultRowHeight="14.4" x14ac:dyDescent="0.45"/>
  <cols>
    <col min="1" max="1" width="1.69921875" style="1" customWidth="1"/>
    <col min="2" max="2" width="2.69921875" style="1" customWidth="1"/>
    <col min="3" max="3" width="3.296875" style="1" customWidth="1"/>
    <col min="4" max="4" width="22.8984375" style="79" customWidth="1"/>
    <col min="5" max="16" width="7.296875" style="79" customWidth="1"/>
    <col min="17" max="17" width="3.59765625" style="1" customWidth="1"/>
    <col min="18" max="18" width="9.59765625" style="1" customWidth="1"/>
    <col min="19" max="16384" width="9.69921875" style="1"/>
  </cols>
  <sheetData>
    <row r="1" spans="1:18" ht="21" customHeight="1" x14ac:dyDescent="0.4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18" ht="21" customHeight="1" x14ac:dyDescent="0.45">
      <c r="A2" s="5"/>
      <c r="B2" s="5" t="str">
        <f>"　　    （"&amp;[17]設定!D8&amp;DBCS([17]設定!E8)&amp;"年"&amp;DBCS([17]設定!F8)&amp;"月）"</f>
        <v>　　    （令和５年９月）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8" ht="16.2" customHeight="1" x14ac:dyDescent="0.45">
      <c r="C3" s="3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3"/>
    </row>
    <row r="4" spans="1:18" s="8" customFormat="1" ht="15" customHeight="1" x14ac:dyDescent="0.45">
      <c r="B4" s="9" t="s">
        <v>1</v>
      </c>
      <c r="C4" s="3"/>
      <c r="D4" s="1"/>
      <c r="E4" s="9"/>
      <c r="F4" s="1"/>
      <c r="G4" s="9"/>
      <c r="H4" s="9"/>
      <c r="I4" s="10"/>
      <c r="J4" s="10"/>
      <c r="K4" s="10"/>
      <c r="L4" s="11"/>
      <c r="M4" s="11"/>
      <c r="N4" s="10"/>
      <c r="O4" s="11"/>
      <c r="P4" s="11" t="s">
        <v>2</v>
      </c>
      <c r="Q4" s="12"/>
    </row>
    <row r="5" spans="1:18" s="8" customFormat="1" ht="15" customHeight="1" x14ac:dyDescent="0.2">
      <c r="B5" s="13"/>
      <c r="C5" s="14"/>
      <c r="D5" s="15"/>
      <c r="E5" s="16" t="s">
        <v>3</v>
      </c>
      <c r="F5" s="17"/>
      <c r="G5" s="17"/>
      <c r="H5" s="18"/>
      <c r="I5" s="19" t="s">
        <v>4</v>
      </c>
      <c r="J5" s="20"/>
      <c r="K5" s="20"/>
      <c r="L5" s="20"/>
      <c r="M5" s="19" t="s">
        <v>5</v>
      </c>
      <c r="N5" s="20"/>
      <c r="O5" s="20"/>
      <c r="P5" s="21"/>
      <c r="Q5" s="12"/>
      <c r="R5" s="22"/>
    </row>
    <row r="6" spans="1:18" s="8" customFormat="1" ht="15" customHeight="1" x14ac:dyDescent="0.2">
      <c r="B6" s="23"/>
      <c r="C6" s="1"/>
      <c r="D6" s="24" t="s">
        <v>6</v>
      </c>
      <c r="E6" s="25" t="s">
        <v>7</v>
      </c>
      <c r="F6" s="26" t="s">
        <v>8</v>
      </c>
      <c r="G6" s="27" t="s">
        <v>9</v>
      </c>
      <c r="H6" s="27" t="s">
        <v>10</v>
      </c>
      <c r="I6" s="28" t="s">
        <v>7</v>
      </c>
      <c r="J6" s="29" t="s">
        <v>8</v>
      </c>
      <c r="K6" s="30" t="s">
        <v>9</v>
      </c>
      <c r="L6" s="31" t="s">
        <v>10</v>
      </c>
      <c r="M6" s="32" t="s">
        <v>7</v>
      </c>
      <c r="N6" s="29" t="s">
        <v>8</v>
      </c>
      <c r="O6" s="30" t="s">
        <v>9</v>
      </c>
      <c r="P6" s="33" t="s">
        <v>10</v>
      </c>
      <c r="Q6" s="12"/>
      <c r="R6" s="22"/>
    </row>
    <row r="7" spans="1:18" s="8" customFormat="1" ht="15" customHeight="1" x14ac:dyDescent="0.2">
      <c r="B7" s="23"/>
      <c r="C7" s="1"/>
      <c r="D7" s="24"/>
      <c r="E7" s="34"/>
      <c r="F7" s="35" t="s">
        <v>11</v>
      </c>
      <c r="G7" s="27" t="s">
        <v>11</v>
      </c>
      <c r="H7" s="27" t="s">
        <v>11</v>
      </c>
      <c r="I7" s="27"/>
      <c r="J7" s="36" t="s">
        <v>11</v>
      </c>
      <c r="K7" s="27" t="s">
        <v>11</v>
      </c>
      <c r="L7" s="37" t="s">
        <v>11</v>
      </c>
      <c r="M7" s="38"/>
      <c r="N7" s="36" t="s">
        <v>11</v>
      </c>
      <c r="O7" s="27" t="s">
        <v>11</v>
      </c>
      <c r="P7" s="39" t="s">
        <v>11</v>
      </c>
      <c r="Q7" s="12"/>
      <c r="R7" s="22"/>
    </row>
    <row r="8" spans="1:18" s="8" customFormat="1" ht="15" customHeight="1" x14ac:dyDescent="0.2">
      <c r="B8" s="40"/>
      <c r="C8" s="41"/>
      <c r="D8" s="42"/>
      <c r="E8" s="34" t="s">
        <v>12</v>
      </c>
      <c r="F8" s="35" t="s">
        <v>13</v>
      </c>
      <c r="G8" s="27" t="s">
        <v>13</v>
      </c>
      <c r="H8" s="27" t="s">
        <v>13</v>
      </c>
      <c r="I8" s="43" t="s">
        <v>12</v>
      </c>
      <c r="J8" s="44" t="s">
        <v>13</v>
      </c>
      <c r="K8" s="27" t="s">
        <v>13</v>
      </c>
      <c r="L8" s="37" t="s">
        <v>13</v>
      </c>
      <c r="M8" s="38" t="s">
        <v>12</v>
      </c>
      <c r="N8" s="44" t="s">
        <v>13</v>
      </c>
      <c r="O8" s="27" t="s">
        <v>13</v>
      </c>
      <c r="P8" s="39" t="s">
        <v>13</v>
      </c>
      <c r="R8" s="22"/>
    </row>
    <row r="9" spans="1:18" s="8" customFormat="1" ht="17.25" customHeight="1" x14ac:dyDescent="0.45">
      <c r="B9" s="45" t="str">
        <f>+[18]第５表!B9</f>
        <v>TL</v>
      </c>
      <c r="C9" s="46"/>
      <c r="D9" s="47" t="str">
        <f>+[18]第５表!D9</f>
        <v>調査産業計</v>
      </c>
      <c r="E9" s="48">
        <f>IF($D9="","",IF([17]設定!$H23="",INDEX([17]第３表!$F$80:$Q$136,MATCH([17]設定!$D23,[17]第３表!$C$80:$C$136,0),1),[17]設定!$H23))</f>
        <v>18.3</v>
      </c>
      <c r="F9" s="48">
        <f>IF($D9="","",IF([17]設定!$H23="",INDEX([17]第３表!$F$80:$Q$136,MATCH([17]設定!$D23,[17]第３表!$C$80:$C$136,0),2),[17]設定!$H23))</f>
        <v>140.69999999999999</v>
      </c>
      <c r="G9" s="48">
        <f>IF($D9="","",IF([17]設定!$H23="",INDEX([17]第３表!$F$80:$Q$136,MATCH([17]設定!$D23,[17]第３表!$C$80:$C$136,0),3),[17]設定!$H23))</f>
        <v>131.30000000000001</v>
      </c>
      <c r="H9" s="48">
        <f>IF($D9="","",IF([17]設定!$H23="",INDEX([17]第３表!$F$80:$Q$136,MATCH([17]設定!$D23,[17]第３表!$C$80:$C$136,0),4),[17]設定!$H23))</f>
        <v>9.4</v>
      </c>
      <c r="I9" s="48">
        <f>IF($D9="","",IF([17]設定!$H23="",INDEX([17]第３表!$F$80:$Q$136,MATCH([17]設定!$D23,[17]第３表!$C$80:$C$136,0),5),[17]設定!$H23))</f>
        <v>19.100000000000001</v>
      </c>
      <c r="J9" s="48">
        <f>IF($D9="","",IF([17]設定!$H23="",INDEX([17]第３表!$F$80:$Q$136,MATCH([17]設定!$D23,[17]第３表!$C$80:$C$136,0),6),[17]設定!$H23))</f>
        <v>156.30000000000001</v>
      </c>
      <c r="K9" s="48">
        <f>IF($D9="","",IF([17]設定!$H23="",INDEX([17]第３表!$F$80:$Q$136,MATCH([17]設定!$D23,[17]第３表!$C$80:$C$136,0),7),[17]設定!$H23))</f>
        <v>142.69999999999999</v>
      </c>
      <c r="L9" s="48">
        <f>IF($D9="","",IF([17]設定!$H23="",INDEX([17]第３表!$F$80:$Q$136,MATCH([17]設定!$D23,[17]第３表!$C$80:$C$136,0),8),[17]設定!$H23))</f>
        <v>13.6</v>
      </c>
      <c r="M9" s="48">
        <f>IF($D9="","",IF([17]設定!$H23="",INDEX([17]第３表!$F$80:$Q$136,MATCH([17]設定!$D23,[17]第３表!$C$80:$C$136,0),9),[17]設定!$H23))</f>
        <v>17.600000000000001</v>
      </c>
      <c r="N9" s="48">
        <f>IF($D9="","",IF([17]設定!$H23="",INDEX([17]第３表!$F$80:$Q$136,MATCH([17]設定!$D23,[17]第３表!$C$80:$C$136,0),10),[17]設定!$H23))</f>
        <v>125.6</v>
      </c>
      <c r="O9" s="48">
        <f>IF($D9="","",IF([17]設定!$H23="",INDEX([17]第３表!$F$80:$Q$136,MATCH([17]設定!$D23,[17]第３表!$C$80:$C$136,0),11),[17]設定!$H23))</f>
        <v>120.3</v>
      </c>
      <c r="P9" s="48">
        <f>IF($D9="","",IF([17]設定!$H23="",INDEX([17]第３表!$F$80:$Q$136,MATCH([17]設定!$D23,[17]第３表!$C$80:$C$136,0),12),[17]設定!$H23))</f>
        <v>5.3</v>
      </c>
    </row>
    <row r="10" spans="1:18" s="8" customFormat="1" ht="17.25" customHeight="1" x14ac:dyDescent="0.45">
      <c r="B10" s="49" t="str">
        <f>+[18]第５表!B10</f>
        <v>D</v>
      </c>
      <c r="C10" s="50"/>
      <c r="D10" s="51" t="str">
        <f>+[18]第５表!D10</f>
        <v>建設業</v>
      </c>
      <c r="E10" s="52">
        <f>IF($D10="","",IF([17]設定!$H24="",INDEX([17]第３表!$F$80:$Q$136,MATCH([17]設定!$D24,[17]第３表!$C$80:$C$136,0),1),[17]設定!$H24))</f>
        <v>21.8</v>
      </c>
      <c r="F10" s="52">
        <f>IF($D10="","",IF([17]設定!$H24="",INDEX([17]第３表!$F$80:$Q$136,MATCH([17]設定!$D24,[17]第３表!$C$80:$C$136,0),2),[17]設定!$H24))</f>
        <v>169.1</v>
      </c>
      <c r="G10" s="52">
        <f>IF($D10="","",IF([17]設定!$H24="",INDEX([17]第３表!$F$80:$Q$136,MATCH([17]設定!$D24,[17]第３表!$C$80:$C$136,0),3),[17]設定!$H24))</f>
        <v>162.5</v>
      </c>
      <c r="H10" s="53">
        <f>IF($D10="","",IF([17]設定!$H24="",INDEX([17]第３表!$F$80:$Q$136,MATCH([17]設定!$D24,[17]第３表!$C$80:$C$136,0),4),[17]設定!$H24))</f>
        <v>6.6</v>
      </c>
      <c r="I10" s="54">
        <f>IF($D10="","",IF([17]設定!$H24="",INDEX([17]第３表!$F$80:$Q$136,MATCH([17]設定!$D24,[17]第３表!$C$80:$C$136,0),5),[17]設定!$H24))</f>
        <v>22.2</v>
      </c>
      <c r="J10" s="54">
        <f>IF($D10="","",IF([17]設定!$H24="",INDEX([17]第３表!$F$80:$Q$136,MATCH([17]設定!$D24,[17]第３表!$C$80:$C$136,0),6),[17]設定!$H24))</f>
        <v>173.4</v>
      </c>
      <c r="K10" s="54">
        <f>IF($D10="","",IF([17]設定!$H24="",INDEX([17]第３表!$F$80:$Q$136,MATCH([17]設定!$D24,[17]第３表!$C$80:$C$136,0),7),[17]設定!$H24))</f>
        <v>166.3</v>
      </c>
      <c r="L10" s="55">
        <f>IF($D10="","",IF([17]設定!$H24="",INDEX([17]第３表!$F$80:$Q$136,MATCH([17]設定!$D24,[17]第３表!$C$80:$C$136,0),8),[17]設定!$H24))</f>
        <v>7.1</v>
      </c>
      <c r="M10" s="56">
        <f>IF($D10="","",IF([17]設定!$H24="",INDEX([17]第３表!$F$80:$Q$136,MATCH([17]設定!$D24,[17]第３表!$C$80:$C$136,0),9),[17]設定!$H24))</f>
        <v>20.100000000000001</v>
      </c>
      <c r="N10" s="56">
        <f>IF($D10="","",IF([17]設定!$H24="",INDEX([17]第３表!$F$80:$Q$136,MATCH([17]設定!$D24,[17]第３表!$C$80:$C$136,0),10),[17]設定!$H24))</f>
        <v>145.19999999999999</v>
      </c>
      <c r="O10" s="56">
        <f>IF($D10="","",IF([17]設定!$H24="",INDEX([17]第３表!$F$80:$Q$136,MATCH([17]設定!$D24,[17]第３表!$C$80:$C$136,0),11),[17]設定!$H24))</f>
        <v>141.6</v>
      </c>
      <c r="P10" s="57">
        <f>IF($D10="","",IF([17]設定!$H24="",INDEX([17]第３表!$F$80:$Q$136,MATCH([17]設定!$D24,[17]第３表!$C$80:$C$136,0),12),[17]設定!$H24))</f>
        <v>3.6</v>
      </c>
    </row>
    <row r="11" spans="1:18" s="8" customFormat="1" ht="17.25" customHeight="1" x14ac:dyDescent="0.45">
      <c r="B11" s="49" t="str">
        <f>+[18]第５表!B11</f>
        <v>E</v>
      </c>
      <c r="C11" s="50"/>
      <c r="D11" s="51" t="str">
        <f>+[18]第５表!D11</f>
        <v>製造業</v>
      </c>
      <c r="E11" s="52">
        <f>IF($D11="","",IF([17]設定!$H25="",INDEX([17]第３表!$F$80:$Q$136,MATCH([17]設定!$D25,[17]第３表!$C$80:$C$136,0),1),[17]設定!$H25))</f>
        <v>19.5</v>
      </c>
      <c r="F11" s="52">
        <f>IF($D11="","",IF([17]設定!$H25="",INDEX([17]第３表!$F$80:$Q$136,MATCH([17]設定!$D25,[17]第３表!$C$80:$C$136,0),2),[17]設定!$H25))</f>
        <v>159.1</v>
      </c>
      <c r="G11" s="52">
        <f>IF($D11="","",IF([17]設定!$H25="",INDEX([17]第３表!$F$80:$Q$136,MATCH([17]設定!$D25,[17]第３表!$C$80:$C$136,0),3),[17]設定!$H25))</f>
        <v>147</v>
      </c>
      <c r="H11" s="53">
        <f>IF($D11="","",IF([17]設定!$H25="",INDEX([17]第３表!$F$80:$Q$136,MATCH([17]設定!$D25,[17]第３表!$C$80:$C$136,0),4),[17]設定!$H25))</f>
        <v>12.1</v>
      </c>
      <c r="I11" s="54">
        <f>IF($D11="","",IF([17]設定!$H25="",INDEX([17]第３表!$F$80:$Q$136,MATCH([17]設定!$D25,[17]第３表!$C$80:$C$136,0),5),[17]設定!$H25))</f>
        <v>20</v>
      </c>
      <c r="J11" s="54">
        <f>IF($D11="","",IF([17]設定!$H25="",INDEX([17]第３表!$F$80:$Q$136,MATCH([17]設定!$D25,[17]第３表!$C$80:$C$136,0),6),[17]設定!$H25))</f>
        <v>169.9</v>
      </c>
      <c r="K11" s="54">
        <f>IF($D11="","",IF([17]設定!$H25="",INDEX([17]第３表!$F$80:$Q$136,MATCH([17]設定!$D25,[17]第３表!$C$80:$C$136,0),7),[17]設定!$H25))</f>
        <v>153.69999999999999</v>
      </c>
      <c r="L11" s="55">
        <f>IF($D11="","",IF([17]設定!$H25="",INDEX([17]第３表!$F$80:$Q$136,MATCH([17]設定!$D25,[17]第３表!$C$80:$C$136,0),8),[17]設定!$H25))</f>
        <v>16.2</v>
      </c>
      <c r="M11" s="56">
        <f>IF($D11="","",IF([17]設定!$H25="",INDEX([17]第３表!$F$80:$Q$136,MATCH([17]設定!$D25,[17]第３表!$C$80:$C$136,0),9),[17]設定!$H25))</f>
        <v>18.899999999999999</v>
      </c>
      <c r="N11" s="56">
        <f>IF($D11="","",IF([17]設定!$H25="",INDEX([17]第３表!$F$80:$Q$136,MATCH([17]設定!$D25,[17]第３表!$C$80:$C$136,0),10),[17]設定!$H25))</f>
        <v>143.69999999999999</v>
      </c>
      <c r="O11" s="56">
        <f>IF($D11="","",IF([17]設定!$H25="",INDEX([17]第３表!$F$80:$Q$136,MATCH([17]設定!$D25,[17]第３表!$C$80:$C$136,0),11),[17]設定!$H25))</f>
        <v>137.4</v>
      </c>
      <c r="P11" s="57">
        <f>IF($D11="","",IF([17]設定!$H25="",INDEX([17]第３表!$F$80:$Q$136,MATCH([17]設定!$D25,[17]第３表!$C$80:$C$136,0),12),[17]設定!$H25))</f>
        <v>6.3</v>
      </c>
    </row>
    <row r="12" spans="1:18" s="8" customFormat="1" ht="17.25" customHeight="1" x14ac:dyDescent="0.45">
      <c r="B12" s="49" t="str">
        <f>+[18]第５表!B12</f>
        <v>F</v>
      </c>
      <c r="C12" s="50"/>
      <c r="D12" s="58" t="str">
        <f>+[18]第５表!D12</f>
        <v>電気・ガス・熱供給・水道業</v>
      </c>
      <c r="E12" s="52">
        <f>IF($D12="","",IF([17]設定!$H26="",INDEX([17]第３表!$F$80:$Q$136,MATCH([17]設定!$D26,[17]第３表!$C$80:$C$136,0),1),[17]設定!$H26))</f>
        <v>18.3</v>
      </c>
      <c r="F12" s="52">
        <f>IF($D12="","",IF([17]設定!$H26="",INDEX([17]第３表!$F$80:$Q$136,MATCH([17]設定!$D26,[17]第３表!$C$80:$C$136,0),2),[17]設定!$H26))</f>
        <v>151.4</v>
      </c>
      <c r="G12" s="52">
        <f>IF($D12="","",IF([17]設定!$H26="",INDEX([17]第３表!$F$80:$Q$136,MATCH([17]設定!$D26,[17]第３表!$C$80:$C$136,0),3),[17]設定!$H26))</f>
        <v>134.19999999999999</v>
      </c>
      <c r="H12" s="53">
        <f>IF($D12="","",IF([17]設定!$H26="",INDEX([17]第３表!$F$80:$Q$136,MATCH([17]設定!$D26,[17]第３表!$C$80:$C$136,0),4),[17]設定!$H26))</f>
        <v>17.2</v>
      </c>
      <c r="I12" s="54">
        <f>IF($D12="","",IF([17]設定!$H26="",INDEX([17]第３表!$F$80:$Q$136,MATCH([17]設定!$D26,[17]第３表!$C$80:$C$136,0),5),[17]設定!$H26))</f>
        <v>18.3</v>
      </c>
      <c r="J12" s="54">
        <f>IF($D12="","",IF([17]設定!$H26="",INDEX([17]第３表!$F$80:$Q$136,MATCH([17]設定!$D26,[17]第３表!$C$80:$C$136,0),6),[17]設定!$H26))</f>
        <v>155.30000000000001</v>
      </c>
      <c r="K12" s="54">
        <f>IF($D12="","",IF([17]設定!$H26="",INDEX([17]第３表!$F$80:$Q$136,MATCH([17]設定!$D26,[17]第３表!$C$80:$C$136,0),7),[17]設定!$H26))</f>
        <v>136</v>
      </c>
      <c r="L12" s="55">
        <f>IF($D12="","",IF([17]設定!$H26="",INDEX([17]第３表!$F$80:$Q$136,MATCH([17]設定!$D26,[17]第３表!$C$80:$C$136,0),8),[17]設定!$H26))</f>
        <v>19.3</v>
      </c>
      <c r="M12" s="56">
        <f>IF($D12="","",IF([17]設定!$H26="",INDEX([17]第３表!$F$80:$Q$136,MATCH([17]設定!$D26,[17]第３表!$C$80:$C$136,0),9),[17]設定!$H26))</f>
        <v>18</v>
      </c>
      <c r="N12" s="56">
        <f>IF($D12="","",IF([17]設定!$H26="",INDEX([17]第３表!$F$80:$Q$136,MATCH([17]設定!$D26,[17]第３表!$C$80:$C$136,0),10),[17]設定!$H26))</f>
        <v>127.7</v>
      </c>
      <c r="O12" s="56">
        <f>IF($D12="","",IF([17]設定!$H26="",INDEX([17]第３表!$F$80:$Q$136,MATCH([17]設定!$D26,[17]第３表!$C$80:$C$136,0),11),[17]設定!$H26))</f>
        <v>123.1</v>
      </c>
      <c r="P12" s="57">
        <f>IF($D12="","",IF([17]設定!$H26="",INDEX([17]第３表!$F$80:$Q$136,MATCH([17]設定!$D26,[17]第３表!$C$80:$C$136,0),12),[17]設定!$H26))</f>
        <v>4.5999999999999996</v>
      </c>
    </row>
    <row r="13" spans="1:18" s="8" customFormat="1" ht="17.25" customHeight="1" x14ac:dyDescent="0.45">
      <c r="B13" s="49" t="str">
        <f>+[18]第５表!B13</f>
        <v>G</v>
      </c>
      <c r="C13" s="50"/>
      <c r="D13" s="51" t="str">
        <f>+[18]第５表!D13</f>
        <v>情報通信業</v>
      </c>
      <c r="E13" s="52">
        <f>IF($D13="","",IF([17]設定!$H27="",INDEX([17]第３表!$F$80:$Q$136,MATCH([17]設定!$D27,[17]第３表!$C$80:$C$136,0),1),[17]設定!$H27))</f>
        <v>19.100000000000001</v>
      </c>
      <c r="F13" s="52">
        <f>IF($D13="","",IF([17]設定!$H27="",INDEX([17]第３表!$F$80:$Q$136,MATCH([17]設定!$D27,[17]第３表!$C$80:$C$136,0),2),[17]設定!$H27))</f>
        <v>153.9</v>
      </c>
      <c r="G13" s="52">
        <f>IF($D13="","",IF([17]設定!$H27="",INDEX([17]第３表!$F$80:$Q$136,MATCH([17]設定!$D27,[17]第３表!$C$80:$C$136,0),3),[17]設定!$H27))</f>
        <v>142.19999999999999</v>
      </c>
      <c r="H13" s="53">
        <f>IF($D13="","",IF([17]設定!$H27="",INDEX([17]第３表!$F$80:$Q$136,MATCH([17]設定!$D27,[17]第３表!$C$80:$C$136,0),4),[17]設定!$H27))</f>
        <v>11.7</v>
      </c>
      <c r="I13" s="54">
        <f>IF($D13="","",IF([17]設定!$H27="",INDEX([17]第３表!$F$80:$Q$136,MATCH([17]設定!$D27,[17]第３表!$C$80:$C$136,0),5),[17]設定!$H27))</f>
        <v>19.399999999999999</v>
      </c>
      <c r="J13" s="54">
        <f>IF($D13="","",IF([17]設定!$H27="",INDEX([17]第３表!$F$80:$Q$136,MATCH([17]設定!$D27,[17]第３表!$C$80:$C$136,0),6),[17]設定!$H27))</f>
        <v>156.30000000000001</v>
      </c>
      <c r="K13" s="54">
        <f>IF($D13="","",IF([17]設定!$H27="",INDEX([17]第３表!$F$80:$Q$136,MATCH([17]設定!$D27,[17]第３表!$C$80:$C$136,0),7),[17]設定!$H27))</f>
        <v>144.5</v>
      </c>
      <c r="L13" s="55">
        <f>IF($D13="","",IF([17]設定!$H27="",INDEX([17]第３表!$F$80:$Q$136,MATCH([17]設定!$D27,[17]第３表!$C$80:$C$136,0),8),[17]設定!$H27))</f>
        <v>11.8</v>
      </c>
      <c r="M13" s="56">
        <f>IF($D13="","",IF([17]設定!$H27="",INDEX([17]第３表!$F$80:$Q$136,MATCH([17]設定!$D27,[17]第３表!$C$80:$C$136,0),9),[17]設定!$H27))</f>
        <v>18.7</v>
      </c>
      <c r="N13" s="56">
        <f>IF($D13="","",IF([17]設定!$H27="",INDEX([17]第３表!$F$80:$Q$136,MATCH([17]設定!$D27,[17]第３表!$C$80:$C$136,0),10),[17]設定!$H27))</f>
        <v>148.69999999999999</v>
      </c>
      <c r="O13" s="56">
        <f>IF($D13="","",IF([17]設定!$H27="",INDEX([17]第３表!$F$80:$Q$136,MATCH([17]設定!$D27,[17]第３表!$C$80:$C$136,0),11),[17]設定!$H27))</f>
        <v>137.30000000000001</v>
      </c>
      <c r="P13" s="57">
        <f>IF($D13="","",IF([17]設定!$H27="",INDEX([17]第３表!$F$80:$Q$136,MATCH([17]設定!$D27,[17]第３表!$C$80:$C$136,0),12),[17]設定!$H27))</f>
        <v>11.4</v>
      </c>
    </row>
    <row r="14" spans="1:18" s="8" customFormat="1" ht="17.25" customHeight="1" x14ac:dyDescent="0.45">
      <c r="B14" s="49" t="str">
        <f>+[18]第５表!B14</f>
        <v>H</v>
      </c>
      <c r="C14" s="50"/>
      <c r="D14" s="51" t="str">
        <f>+[18]第５表!D14</f>
        <v>運輸業，郵便業</v>
      </c>
      <c r="E14" s="52">
        <f>IF($D14="","",IF([17]設定!$H28="",INDEX([17]第３表!$F$80:$Q$136,MATCH([17]設定!$D28,[17]第３表!$C$80:$C$136,0),1),[17]設定!$H28))</f>
        <v>20.399999999999999</v>
      </c>
      <c r="F14" s="52">
        <f>IF($D14="","",IF([17]設定!$H28="",INDEX([17]第３表!$F$80:$Q$136,MATCH([17]設定!$D28,[17]第３表!$C$80:$C$136,0),2),[17]設定!$H28))</f>
        <v>185.2</v>
      </c>
      <c r="G14" s="52">
        <f>IF($D14="","",IF([17]設定!$H28="",INDEX([17]第３表!$F$80:$Q$136,MATCH([17]設定!$D28,[17]第３表!$C$80:$C$136,0),3),[17]設定!$H28))</f>
        <v>155</v>
      </c>
      <c r="H14" s="53">
        <f>IF($D14="","",IF([17]設定!$H28="",INDEX([17]第３表!$F$80:$Q$136,MATCH([17]設定!$D28,[17]第３表!$C$80:$C$136,0),4),[17]設定!$H28))</f>
        <v>30.2</v>
      </c>
      <c r="I14" s="54">
        <f>IF($D14="","",IF([17]設定!$H28="",INDEX([17]第３表!$F$80:$Q$136,MATCH([17]設定!$D28,[17]第３表!$C$80:$C$136,0),5),[17]設定!$H28))</f>
        <v>20.6</v>
      </c>
      <c r="J14" s="54">
        <f>IF($D14="","",IF([17]設定!$H28="",INDEX([17]第３表!$F$80:$Q$136,MATCH([17]設定!$D28,[17]第３表!$C$80:$C$136,0),6),[17]設定!$H28))</f>
        <v>190.4</v>
      </c>
      <c r="K14" s="54">
        <f>IF($D14="","",IF([17]設定!$H28="",INDEX([17]第３表!$F$80:$Q$136,MATCH([17]設定!$D28,[17]第３表!$C$80:$C$136,0),7),[17]設定!$H28))</f>
        <v>157.1</v>
      </c>
      <c r="L14" s="55">
        <f>IF($D14="","",IF([17]設定!$H28="",INDEX([17]第３表!$F$80:$Q$136,MATCH([17]設定!$D28,[17]第３表!$C$80:$C$136,0),8),[17]設定!$H28))</f>
        <v>33.299999999999997</v>
      </c>
      <c r="M14" s="56">
        <f>IF($D14="","",IF([17]設定!$H28="",INDEX([17]第３表!$F$80:$Q$136,MATCH([17]設定!$D28,[17]第３表!$C$80:$C$136,0),9),[17]設定!$H28))</f>
        <v>19.100000000000001</v>
      </c>
      <c r="N14" s="56">
        <f>IF($D14="","",IF([17]設定!$H28="",INDEX([17]第３表!$F$80:$Q$136,MATCH([17]設定!$D28,[17]第３表!$C$80:$C$136,0),10),[17]設定!$H28))</f>
        <v>145.80000000000001</v>
      </c>
      <c r="O14" s="56">
        <f>IF($D14="","",IF([17]設定!$H28="",INDEX([17]第３表!$F$80:$Q$136,MATCH([17]設定!$D28,[17]第３表!$C$80:$C$136,0),11),[17]設定!$H28))</f>
        <v>138.9</v>
      </c>
      <c r="P14" s="57">
        <f>IF($D14="","",IF([17]設定!$H28="",INDEX([17]第３表!$F$80:$Q$136,MATCH([17]設定!$D28,[17]第３表!$C$80:$C$136,0),12),[17]設定!$H28))</f>
        <v>6.9</v>
      </c>
    </row>
    <row r="15" spans="1:18" s="8" customFormat="1" ht="17.25" customHeight="1" x14ac:dyDescent="0.45">
      <c r="B15" s="49" t="str">
        <f>+[18]第５表!B15</f>
        <v>I</v>
      </c>
      <c r="C15" s="50"/>
      <c r="D15" s="51" t="str">
        <f>+[18]第５表!D15</f>
        <v>卸売業，小売業</v>
      </c>
      <c r="E15" s="52">
        <f>IF($D15="","",IF([17]設定!$H29="",INDEX([17]第３表!$F$80:$Q$136,MATCH([17]設定!$D29,[17]第３表!$C$80:$C$136,0),1),[17]設定!$H29))</f>
        <v>17.399999999999999</v>
      </c>
      <c r="F15" s="52">
        <f>IF($D15="","",IF([17]設定!$H29="",INDEX([17]第３表!$F$80:$Q$136,MATCH([17]設定!$D29,[17]第３表!$C$80:$C$136,0),2),[17]設定!$H29))</f>
        <v>128.5</v>
      </c>
      <c r="G15" s="52">
        <f>IF($D15="","",IF([17]設定!$H29="",INDEX([17]第３表!$F$80:$Q$136,MATCH([17]設定!$D29,[17]第３表!$C$80:$C$136,0),3),[17]設定!$H29))</f>
        <v>121.3</v>
      </c>
      <c r="H15" s="53">
        <f>IF($D15="","",IF([17]設定!$H29="",INDEX([17]第３表!$F$80:$Q$136,MATCH([17]設定!$D29,[17]第３表!$C$80:$C$136,0),4),[17]設定!$H29))</f>
        <v>7.2</v>
      </c>
      <c r="I15" s="54">
        <f>IF($D15="","",IF([17]設定!$H29="",INDEX([17]第３表!$F$80:$Q$136,MATCH([17]設定!$D29,[17]第３表!$C$80:$C$136,0),5),[17]設定!$H29))</f>
        <v>18.100000000000001</v>
      </c>
      <c r="J15" s="54">
        <f>IF($D15="","",IF([17]設定!$H29="",INDEX([17]第３表!$F$80:$Q$136,MATCH([17]設定!$D29,[17]第３表!$C$80:$C$136,0),6),[17]設定!$H29))</f>
        <v>146.1</v>
      </c>
      <c r="K15" s="54">
        <f>IF($D15="","",IF([17]設定!$H29="",INDEX([17]第３表!$F$80:$Q$136,MATCH([17]設定!$D29,[17]第３表!$C$80:$C$136,0),7),[17]設定!$H29))</f>
        <v>135.1</v>
      </c>
      <c r="L15" s="55">
        <f>IF($D15="","",IF([17]設定!$H29="",INDEX([17]第３表!$F$80:$Q$136,MATCH([17]設定!$D29,[17]第３表!$C$80:$C$136,0),8),[17]設定!$H29))</f>
        <v>11</v>
      </c>
      <c r="M15" s="56">
        <f>IF($D15="","",IF([17]設定!$H29="",INDEX([17]第３表!$F$80:$Q$136,MATCH([17]設定!$D29,[17]第３表!$C$80:$C$136,0),9),[17]設定!$H29))</f>
        <v>16.7</v>
      </c>
      <c r="N15" s="56">
        <f>IF($D15="","",IF([17]設定!$H29="",INDEX([17]第３表!$F$80:$Q$136,MATCH([17]設定!$D29,[17]第３表!$C$80:$C$136,0),10),[17]設定!$H29))</f>
        <v>109.6</v>
      </c>
      <c r="O15" s="56">
        <f>IF($D15="","",IF([17]設定!$H29="",INDEX([17]第３表!$F$80:$Q$136,MATCH([17]設定!$D29,[17]第３表!$C$80:$C$136,0),11),[17]設定!$H29))</f>
        <v>106.5</v>
      </c>
      <c r="P15" s="57">
        <f>IF($D15="","",IF([17]設定!$H29="",INDEX([17]第３表!$F$80:$Q$136,MATCH([17]設定!$D29,[17]第３表!$C$80:$C$136,0),12),[17]設定!$H29))</f>
        <v>3.1</v>
      </c>
    </row>
    <row r="16" spans="1:18" s="8" customFormat="1" ht="17.25" customHeight="1" x14ac:dyDescent="0.45">
      <c r="B16" s="49" t="str">
        <f>+[18]第５表!B16</f>
        <v>J</v>
      </c>
      <c r="C16" s="50"/>
      <c r="D16" s="51" t="str">
        <f>+[18]第５表!D16</f>
        <v>金融業，保険業</v>
      </c>
      <c r="E16" s="52">
        <f>IF($D16="","",IF([17]設定!$H30="",INDEX([17]第３表!$F$80:$Q$136,MATCH([17]設定!$D30,[17]第３表!$C$80:$C$136,0),1),[17]設定!$H30))</f>
        <v>18.399999999999999</v>
      </c>
      <c r="F16" s="52">
        <f>IF($D16="","",IF([17]設定!$H30="",INDEX([17]第３表!$F$80:$Q$136,MATCH([17]設定!$D30,[17]第３表!$C$80:$C$136,0),2),[17]設定!$H30))</f>
        <v>141.6</v>
      </c>
      <c r="G16" s="52">
        <f>IF($D16="","",IF([17]設定!$H30="",INDEX([17]第３表!$F$80:$Q$136,MATCH([17]設定!$D30,[17]第３表!$C$80:$C$136,0),3),[17]設定!$H30))</f>
        <v>134.69999999999999</v>
      </c>
      <c r="H16" s="53">
        <f>IF($D16="","",IF([17]設定!$H30="",INDEX([17]第３表!$F$80:$Q$136,MATCH([17]設定!$D30,[17]第３表!$C$80:$C$136,0),4),[17]設定!$H30))</f>
        <v>6.9</v>
      </c>
      <c r="I16" s="54">
        <f>IF($D16="","",IF([17]設定!$H30="",INDEX([17]第３表!$F$80:$Q$136,MATCH([17]設定!$D30,[17]第３表!$C$80:$C$136,0),5),[17]設定!$H30))</f>
        <v>19.100000000000001</v>
      </c>
      <c r="J16" s="54">
        <f>IF($D16="","",IF([17]設定!$H30="",INDEX([17]第３表!$F$80:$Q$136,MATCH([17]設定!$D30,[17]第３表!$C$80:$C$136,0),6),[17]設定!$H30))</f>
        <v>155.19999999999999</v>
      </c>
      <c r="K16" s="54">
        <f>IF($D16="","",IF([17]設定!$H30="",INDEX([17]第３表!$F$80:$Q$136,MATCH([17]設定!$D30,[17]第３表!$C$80:$C$136,0),7),[17]設定!$H30))</f>
        <v>145.1</v>
      </c>
      <c r="L16" s="55">
        <f>IF($D16="","",IF([17]設定!$H30="",INDEX([17]第３表!$F$80:$Q$136,MATCH([17]設定!$D30,[17]第３表!$C$80:$C$136,0),8),[17]設定!$H30))</f>
        <v>10.1</v>
      </c>
      <c r="M16" s="56">
        <f>IF($D16="","",IF([17]設定!$H30="",INDEX([17]第３表!$F$80:$Q$136,MATCH([17]設定!$D30,[17]第３表!$C$80:$C$136,0),9),[17]設定!$H30))</f>
        <v>17.7</v>
      </c>
      <c r="N16" s="56">
        <f>IF($D16="","",IF([17]設定!$H30="",INDEX([17]第３表!$F$80:$Q$136,MATCH([17]設定!$D30,[17]第３表!$C$80:$C$136,0),10),[17]設定!$H30))</f>
        <v>129.4</v>
      </c>
      <c r="O16" s="56">
        <f>IF($D16="","",IF([17]設定!$H30="",INDEX([17]第３表!$F$80:$Q$136,MATCH([17]設定!$D30,[17]第３表!$C$80:$C$136,0),11),[17]設定!$H30))</f>
        <v>125.3</v>
      </c>
      <c r="P16" s="57">
        <f>IF($D16="","",IF([17]設定!$H30="",INDEX([17]第３表!$F$80:$Q$136,MATCH([17]設定!$D30,[17]第３表!$C$80:$C$136,0),12),[17]設定!$H30))</f>
        <v>4.0999999999999996</v>
      </c>
    </row>
    <row r="17" spans="2:16" s="8" customFormat="1" ht="17.25" customHeight="1" x14ac:dyDescent="0.45">
      <c r="B17" s="49" t="str">
        <f>+[18]第５表!B17</f>
        <v>K</v>
      </c>
      <c r="C17" s="50"/>
      <c r="D17" s="51" t="str">
        <f>+[18]第５表!D17</f>
        <v>不動産業，物品賃貸業</v>
      </c>
      <c r="E17" s="52">
        <f>IF($D17="","",IF([17]設定!$H31="",INDEX([17]第３表!$F$80:$Q$136,MATCH([17]設定!$D31,[17]第３表!$C$80:$C$136,0),1),[17]設定!$H31))</f>
        <v>16.2</v>
      </c>
      <c r="F17" s="52">
        <f>IF($D17="","",IF([17]設定!$H31="",INDEX([17]第３表!$F$80:$Q$136,MATCH([17]設定!$D31,[17]第３表!$C$80:$C$136,0),2),[17]設定!$H31))</f>
        <v>116.1</v>
      </c>
      <c r="G17" s="52">
        <f>IF($D17="","",IF([17]設定!$H31="",INDEX([17]第３表!$F$80:$Q$136,MATCH([17]設定!$D31,[17]第３表!$C$80:$C$136,0),3),[17]設定!$H31))</f>
        <v>113.8</v>
      </c>
      <c r="H17" s="52">
        <f>IF($D17="","",IF([17]設定!$H31="",INDEX([17]第３表!$F$80:$Q$136,MATCH([17]設定!$D31,[17]第３表!$C$80:$C$136,0),4),[17]設定!$H31))</f>
        <v>2.2999999999999998</v>
      </c>
      <c r="I17" s="54">
        <f>IF($D17="","",IF([17]設定!$H31="",INDEX([17]第３表!$F$80:$Q$136,MATCH([17]設定!$D31,[17]第３表!$C$80:$C$136,0),5),[17]設定!$H31))</f>
        <v>17.100000000000001</v>
      </c>
      <c r="J17" s="54">
        <f>IF($D17="","",IF([17]設定!$H31="",INDEX([17]第３表!$F$80:$Q$136,MATCH([17]設定!$D31,[17]第３表!$C$80:$C$136,0),6),[17]設定!$H31))</f>
        <v>128.9</v>
      </c>
      <c r="K17" s="54">
        <f>IF($D17="","",IF([17]設定!$H31="",INDEX([17]第３表!$F$80:$Q$136,MATCH([17]設定!$D31,[17]第３表!$C$80:$C$136,0),7),[17]設定!$H31))</f>
        <v>125.7</v>
      </c>
      <c r="L17" s="55">
        <f>IF($D17="","",IF([17]設定!$H31="",INDEX([17]第３表!$F$80:$Q$136,MATCH([17]設定!$D31,[17]第３表!$C$80:$C$136,0),8),[17]設定!$H31))</f>
        <v>3.2</v>
      </c>
      <c r="M17" s="56">
        <f>IF($D17="","",IF([17]設定!$H31="",INDEX([17]第３表!$F$80:$Q$136,MATCH([17]設定!$D31,[17]第３表!$C$80:$C$136,0),9),[17]設定!$H31))</f>
        <v>14.7</v>
      </c>
      <c r="N17" s="56">
        <f>IF($D17="","",IF([17]設定!$H31="",INDEX([17]第３表!$F$80:$Q$136,MATCH([17]設定!$D31,[17]第３表!$C$80:$C$136,0),10),[17]設定!$H31))</f>
        <v>95.9</v>
      </c>
      <c r="O17" s="56">
        <f>IF($D17="","",IF([17]設定!$H31="",INDEX([17]第３表!$F$80:$Q$136,MATCH([17]設定!$D31,[17]第３表!$C$80:$C$136,0),11),[17]設定!$H31))</f>
        <v>95</v>
      </c>
      <c r="P17" s="57">
        <f>IF($D17="","",IF([17]設定!$H31="",INDEX([17]第３表!$F$80:$Q$136,MATCH([17]設定!$D31,[17]第３表!$C$80:$C$136,0),12),[17]設定!$H31))</f>
        <v>0.9</v>
      </c>
    </row>
    <row r="18" spans="2:16" s="8" customFormat="1" ht="17.25" customHeight="1" x14ac:dyDescent="0.45">
      <c r="B18" s="49" t="str">
        <f>+[18]第５表!B18</f>
        <v>L</v>
      </c>
      <c r="C18" s="50"/>
      <c r="D18" s="59" t="str">
        <f>+[18]第５表!D18</f>
        <v>学術研究，専門・技術サービス業</v>
      </c>
      <c r="E18" s="52">
        <f>IF($D18="","",IF([17]設定!$H32="",INDEX([17]第３表!$F$80:$Q$136,MATCH([17]設定!$D32,[17]第３表!$C$80:$C$136,0),1),[17]設定!$H32))</f>
        <v>18.5</v>
      </c>
      <c r="F18" s="52">
        <f>IF($D18="","",IF([17]設定!$H32="",INDEX([17]第３表!$F$80:$Q$136,MATCH([17]設定!$D32,[17]第３表!$C$80:$C$136,0),2),[17]設定!$H32))</f>
        <v>141.9</v>
      </c>
      <c r="G18" s="52">
        <f>IF($D18="","",IF([17]設定!$H32="",INDEX([17]第３表!$F$80:$Q$136,MATCH([17]設定!$D32,[17]第３表!$C$80:$C$136,0),3),[17]設定!$H32))</f>
        <v>135.80000000000001</v>
      </c>
      <c r="H18" s="53">
        <f>IF($D18="","",IF([17]設定!$H32="",INDEX([17]第３表!$F$80:$Q$136,MATCH([17]設定!$D32,[17]第３表!$C$80:$C$136,0),4),[17]設定!$H32))</f>
        <v>6.1</v>
      </c>
      <c r="I18" s="54">
        <f>IF($D18="","",IF([17]設定!$H32="",INDEX([17]第３表!$F$80:$Q$136,MATCH([17]設定!$D32,[17]第３表!$C$80:$C$136,0),5),[17]設定!$H32))</f>
        <v>18.399999999999999</v>
      </c>
      <c r="J18" s="54">
        <f>IF($D18="","",IF([17]設定!$H32="",INDEX([17]第３表!$F$80:$Q$136,MATCH([17]設定!$D32,[17]第３表!$C$80:$C$136,0),6),[17]設定!$H32))</f>
        <v>149.19999999999999</v>
      </c>
      <c r="K18" s="54">
        <f>IF($D18="","",IF([17]設定!$H32="",INDEX([17]第３表!$F$80:$Q$136,MATCH([17]設定!$D32,[17]第３表!$C$80:$C$136,0),7),[17]設定!$H32))</f>
        <v>142.19999999999999</v>
      </c>
      <c r="L18" s="55">
        <f>IF($D18="","",IF([17]設定!$H32="",INDEX([17]第３表!$F$80:$Q$136,MATCH([17]設定!$D32,[17]第３表!$C$80:$C$136,0),8),[17]設定!$H32))</f>
        <v>7</v>
      </c>
      <c r="M18" s="56">
        <f>IF($D18="","",IF([17]設定!$H32="",INDEX([17]第３表!$F$80:$Q$136,MATCH([17]設定!$D32,[17]第３表!$C$80:$C$136,0),9),[17]設定!$H32))</f>
        <v>18.8</v>
      </c>
      <c r="N18" s="56">
        <f>IF($D18="","",IF([17]設定!$H32="",INDEX([17]第３表!$F$80:$Q$136,MATCH([17]設定!$D32,[17]第３表!$C$80:$C$136,0),10),[17]設定!$H32))</f>
        <v>128.69999999999999</v>
      </c>
      <c r="O18" s="56">
        <f>IF($D18="","",IF([17]設定!$H32="",INDEX([17]第３表!$F$80:$Q$136,MATCH([17]設定!$D32,[17]第３表!$C$80:$C$136,0),11),[17]設定!$H32))</f>
        <v>124.4</v>
      </c>
      <c r="P18" s="57">
        <f>IF($D18="","",IF([17]設定!$H32="",INDEX([17]第３表!$F$80:$Q$136,MATCH([17]設定!$D32,[17]第３表!$C$80:$C$136,0),12),[17]設定!$H32))</f>
        <v>4.3</v>
      </c>
    </row>
    <row r="19" spans="2:16" s="8" customFormat="1" ht="17.25" customHeight="1" x14ac:dyDescent="0.45">
      <c r="B19" s="49" t="str">
        <f>+[18]第５表!B19</f>
        <v>M</v>
      </c>
      <c r="C19" s="50"/>
      <c r="D19" s="60" t="str">
        <f>+[18]第５表!D19</f>
        <v>宿泊業，飲食サービス業</v>
      </c>
      <c r="E19" s="52">
        <f>IF($D19="","",IF([17]設定!$H33="",INDEX([17]第３表!$F$80:$Q$136,MATCH([17]設定!$D33,[17]第３表!$C$80:$C$136,0),1),[17]設定!$H33))</f>
        <v>13.5</v>
      </c>
      <c r="F19" s="52">
        <f>IF($D19="","",IF([17]設定!$H33="",INDEX([17]第３表!$F$80:$Q$136,MATCH([17]設定!$D33,[17]第３表!$C$80:$C$136,0),2),[17]設定!$H33))</f>
        <v>75.7</v>
      </c>
      <c r="G19" s="52">
        <f>IF($D19="","",IF([17]設定!$H33="",INDEX([17]第３表!$F$80:$Q$136,MATCH([17]設定!$D33,[17]第３表!$C$80:$C$136,0),3),[17]設定!$H33))</f>
        <v>72.599999999999994</v>
      </c>
      <c r="H19" s="53">
        <f>IF($D19="","",IF([17]設定!$H33="",INDEX([17]第３表!$F$80:$Q$136,MATCH([17]設定!$D33,[17]第３表!$C$80:$C$136,0),4),[17]設定!$H33))</f>
        <v>3.1</v>
      </c>
      <c r="I19" s="54">
        <f>IF($D19="","",IF([17]設定!$H33="",INDEX([17]第３表!$F$80:$Q$136,MATCH([17]設定!$D33,[17]第３表!$C$80:$C$136,0),5),[17]設定!$H33))</f>
        <v>15</v>
      </c>
      <c r="J19" s="54">
        <f>IF($D19="","",IF([17]設定!$H33="",INDEX([17]第３表!$F$80:$Q$136,MATCH([17]設定!$D33,[17]第３表!$C$80:$C$136,0),6),[17]設定!$H33))</f>
        <v>89.7</v>
      </c>
      <c r="K19" s="54">
        <f>IF($D19="","",IF([17]設定!$H33="",INDEX([17]第３表!$F$80:$Q$136,MATCH([17]設定!$D33,[17]第３表!$C$80:$C$136,0),7),[17]設定!$H33))</f>
        <v>83.1</v>
      </c>
      <c r="L19" s="55">
        <f>IF($D19="","",IF([17]設定!$H33="",INDEX([17]第３表!$F$80:$Q$136,MATCH([17]設定!$D33,[17]第３表!$C$80:$C$136,0),8),[17]設定!$H33))</f>
        <v>6.6</v>
      </c>
      <c r="M19" s="56">
        <f>IF($D19="","",IF([17]設定!$H33="",INDEX([17]第３表!$F$80:$Q$136,MATCH([17]設定!$D33,[17]第３表!$C$80:$C$136,0),9),[17]設定!$H33))</f>
        <v>12.5</v>
      </c>
      <c r="N19" s="56">
        <f>IF($D19="","",IF([17]設定!$H33="",INDEX([17]第３表!$F$80:$Q$136,MATCH([17]設定!$D33,[17]第３表!$C$80:$C$136,0),10),[17]設定!$H33))</f>
        <v>67.099999999999994</v>
      </c>
      <c r="O19" s="56">
        <f>IF($D19="","",IF([17]設定!$H33="",INDEX([17]第３表!$F$80:$Q$136,MATCH([17]設定!$D33,[17]第３表!$C$80:$C$136,0),11),[17]設定!$H33))</f>
        <v>66.099999999999994</v>
      </c>
      <c r="P19" s="57">
        <f>IF($D19="","",IF([17]設定!$H33="",INDEX([17]第３表!$F$80:$Q$136,MATCH([17]設定!$D33,[17]第３表!$C$80:$C$136,0),12),[17]設定!$H33))</f>
        <v>1</v>
      </c>
    </row>
    <row r="20" spans="2:16" s="8" customFormat="1" ht="17.25" customHeight="1" x14ac:dyDescent="0.45">
      <c r="B20" s="49" t="str">
        <f>+[18]第５表!B20</f>
        <v>N</v>
      </c>
      <c r="C20" s="50"/>
      <c r="D20" s="61" t="str">
        <f>+[18]第５表!D20</f>
        <v>生活関連サービス業，娯楽業</v>
      </c>
      <c r="E20" s="52">
        <f>IF($D20="","",IF([17]設定!$H34="",INDEX([17]第３表!$F$80:$Q$136,MATCH([17]設定!$D34,[17]第３表!$C$80:$C$136,0),1),[17]設定!$H34))</f>
        <v>17.399999999999999</v>
      </c>
      <c r="F20" s="52">
        <f>IF($D20="","",IF([17]設定!$H34="",INDEX([17]第３表!$F$80:$Q$136,MATCH([17]設定!$D34,[17]第３表!$C$80:$C$136,0),2),[17]設定!$H34))</f>
        <v>138</v>
      </c>
      <c r="G20" s="52">
        <f>IF($D20="","",IF([17]設定!$H34="",INDEX([17]第３表!$F$80:$Q$136,MATCH([17]設定!$D34,[17]第３表!$C$80:$C$136,0),3),[17]設定!$H34))</f>
        <v>128</v>
      </c>
      <c r="H20" s="53">
        <f>IF($D20="","",IF([17]設定!$H34="",INDEX([17]第３表!$F$80:$Q$136,MATCH([17]設定!$D34,[17]第３表!$C$80:$C$136,0),4),[17]設定!$H34))</f>
        <v>10</v>
      </c>
      <c r="I20" s="54">
        <f>IF($D20="","",IF([17]設定!$H34="",INDEX([17]第３表!$F$80:$Q$136,MATCH([17]設定!$D34,[17]第３表!$C$80:$C$136,0),5),[17]設定!$H34))</f>
        <v>18</v>
      </c>
      <c r="J20" s="54">
        <f>IF($D20="","",IF([17]設定!$H34="",INDEX([17]第３表!$F$80:$Q$136,MATCH([17]設定!$D34,[17]第３表!$C$80:$C$136,0),6),[17]設定!$H34))</f>
        <v>148.30000000000001</v>
      </c>
      <c r="K20" s="54">
        <f>IF($D20="","",IF([17]設定!$H34="",INDEX([17]第３表!$F$80:$Q$136,MATCH([17]設定!$D34,[17]第３表!$C$80:$C$136,0),7),[17]設定!$H34))</f>
        <v>137.9</v>
      </c>
      <c r="L20" s="55">
        <f>IF($D20="","",IF([17]設定!$H34="",INDEX([17]第３表!$F$80:$Q$136,MATCH([17]設定!$D34,[17]第３表!$C$80:$C$136,0),8),[17]設定!$H34))</f>
        <v>10.4</v>
      </c>
      <c r="M20" s="56">
        <f>IF($D20="","",IF([17]設定!$H34="",INDEX([17]第３表!$F$80:$Q$136,MATCH([17]設定!$D34,[17]第３表!$C$80:$C$136,0),9),[17]設定!$H34))</f>
        <v>16.600000000000001</v>
      </c>
      <c r="N20" s="56">
        <f>IF($D20="","",IF([17]設定!$H34="",INDEX([17]第３表!$F$80:$Q$136,MATCH([17]設定!$D34,[17]第３表!$C$80:$C$136,0),10),[17]設定!$H34))</f>
        <v>125.6</v>
      </c>
      <c r="O20" s="56">
        <f>IF($D20="","",IF([17]設定!$H34="",INDEX([17]第３表!$F$80:$Q$136,MATCH([17]設定!$D34,[17]第３表!$C$80:$C$136,0),11),[17]設定!$H34))</f>
        <v>116.1</v>
      </c>
      <c r="P20" s="57">
        <f>IF($D20="","",IF([17]設定!$H34="",INDEX([17]第３表!$F$80:$Q$136,MATCH([17]設定!$D34,[17]第３表!$C$80:$C$136,0),12),[17]設定!$H34))</f>
        <v>9.5</v>
      </c>
    </row>
    <row r="21" spans="2:16" s="8" customFormat="1" ht="17.25" customHeight="1" x14ac:dyDescent="0.45">
      <c r="B21" s="49" t="str">
        <f>+[18]第５表!B21</f>
        <v>O</v>
      </c>
      <c r="C21" s="50"/>
      <c r="D21" s="51" t="str">
        <f>+[18]第５表!D21</f>
        <v>教育，学習支援業</v>
      </c>
      <c r="E21" s="52">
        <f>IF($D21="","",IF([17]設定!$H35="",INDEX([17]第３表!$F$80:$Q$136,MATCH([17]設定!$D35,[17]第３表!$C$80:$C$136,0),1),[17]設定!$H35))</f>
        <v>18.2</v>
      </c>
      <c r="F21" s="52">
        <f>IF($D21="","",IF([17]設定!$H35="",INDEX([17]第３表!$F$80:$Q$136,MATCH([17]設定!$D35,[17]第３表!$C$80:$C$136,0),2),[17]設定!$H35))</f>
        <v>158.5</v>
      </c>
      <c r="G21" s="52">
        <f>IF($D21="","",IF([17]設定!$H35="",INDEX([17]第３表!$F$80:$Q$136,MATCH([17]設定!$D35,[17]第３表!$C$80:$C$136,0),3),[17]設定!$H35))</f>
        <v>135.6</v>
      </c>
      <c r="H21" s="53">
        <f>IF($D21="","",IF([17]設定!$H35="",INDEX([17]第３表!$F$80:$Q$136,MATCH([17]設定!$D35,[17]第３表!$C$80:$C$136,0),4),[17]設定!$H35))</f>
        <v>22.9</v>
      </c>
      <c r="I21" s="54">
        <f>IF($D21="","",IF([17]設定!$H35="",INDEX([17]第３表!$F$80:$Q$136,MATCH([17]設定!$D35,[17]第３表!$C$80:$C$136,0),5),[17]設定!$H35))</f>
        <v>18.7</v>
      </c>
      <c r="J21" s="54">
        <f>IF($D21="","",IF([17]設定!$H35="",INDEX([17]第３表!$F$80:$Q$136,MATCH([17]設定!$D35,[17]第３表!$C$80:$C$136,0),6),[17]設定!$H35))</f>
        <v>172.1</v>
      </c>
      <c r="K21" s="54">
        <f>IF($D21="","",IF([17]設定!$H35="",INDEX([17]第３表!$F$80:$Q$136,MATCH([17]設定!$D35,[17]第３表!$C$80:$C$136,0),7),[17]設定!$H35))</f>
        <v>140.9</v>
      </c>
      <c r="L21" s="55">
        <f>IF($D21="","",IF([17]設定!$H35="",INDEX([17]第３表!$F$80:$Q$136,MATCH([17]設定!$D35,[17]第３表!$C$80:$C$136,0),8),[17]設定!$H35))</f>
        <v>31.2</v>
      </c>
      <c r="M21" s="56">
        <f>IF($D21="","",IF([17]設定!$H35="",INDEX([17]第３表!$F$80:$Q$136,MATCH([17]設定!$D35,[17]第３表!$C$80:$C$136,0),9),[17]設定!$H35))</f>
        <v>17.8</v>
      </c>
      <c r="N21" s="56">
        <f>IF($D21="","",IF([17]設定!$H35="",INDEX([17]第３表!$F$80:$Q$136,MATCH([17]設定!$D35,[17]第３表!$C$80:$C$136,0),10),[17]設定!$H35))</f>
        <v>147.6</v>
      </c>
      <c r="O21" s="56">
        <f>IF($D21="","",IF([17]設定!$H35="",INDEX([17]第３表!$F$80:$Q$136,MATCH([17]設定!$D35,[17]第３表!$C$80:$C$136,0),11),[17]設定!$H35))</f>
        <v>131.4</v>
      </c>
      <c r="P21" s="57">
        <f>IF($D21="","",IF([17]設定!$H35="",INDEX([17]第３表!$F$80:$Q$136,MATCH([17]設定!$D35,[17]第３表!$C$80:$C$136,0),12),[17]設定!$H35))</f>
        <v>16.2</v>
      </c>
    </row>
    <row r="22" spans="2:16" s="8" customFormat="1" ht="17.25" customHeight="1" x14ac:dyDescent="0.45">
      <c r="B22" s="49" t="str">
        <f>+[18]第５表!B22</f>
        <v>P</v>
      </c>
      <c r="C22" s="50"/>
      <c r="D22" s="51" t="str">
        <f>+[18]第５表!D22</f>
        <v>医療，福祉</v>
      </c>
      <c r="E22" s="52">
        <f>IF($D22="","",IF([17]設定!$H36="",INDEX([17]第３表!$F$80:$Q$136,MATCH([17]設定!$D36,[17]第３表!$C$80:$C$136,0),1),[17]設定!$H36))</f>
        <v>18.7</v>
      </c>
      <c r="F22" s="52">
        <f>IF($D22="","",IF([17]設定!$H36="",INDEX([17]第３表!$F$80:$Q$136,MATCH([17]設定!$D36,[17]第３表!$C$80:$C$136,0),2),[17]設定!$H36))</f>
        <v>138</v>
      </c>
      <c r="G22" s="52">
        <f>IF($D22="","",IF([17]設定!$H36="",INDEX([17]第３表!$F$80:$Q$136,MATCH([17]設定!$D36,[17]第３表!$C$80:$C$136,0),3),[17]設定!$H36))</f>
        <v>133.4</v>
      </c>
      <c r="H22" s="53">
        <f>IF($D22="","",IF([17]設定!$H36="",INDEX([17]第３表!$F$80:$Q$136,MATCH([17]設定!$D36,[17]第３表!$C$80:$C$136,0),4),[17]設定!$H36))</f>
        <v>4.5999999999999996</v>
      </c>
      <c r="I22" s="54">
        <f>IF($D22="","",IF([17]設定!$H36="",INDEX([17]第３表!$F$80:$Q$136,MATCH([17]設定!$D36,[17]第３表!$C$80:$C$136,0),5),[17]設定!$H36))</f>
        <v>19.100000000000001</v>
      </c>
      <c r="J22" s="54">
        <f>IF($D22="","",IF([17]設定!$H36="",INDEX([17]第３表!$F$80:$Q$136,MATCH([17]設定!$D36,[17]第３表!$C$80:$C$136,0),6),[17]設定!$H36))</f>
        <v>145.69999999999999</v>
      </c>
      <c r="K22" s="54">
        <f>IF($D22="","",IF([17]設定!$H36="",INDEX([17]第３表!$F$80:$Q$136,MATCH([17]設定!$D36,[17]第３表!$C$80:$C$136,0),7),[17]設定!$H36))</f>
        <v>141.30000000000001</v>
      </c>
      <c r="L22" s="55">
        <f>IF($D22="","",IF([17]設定!$H36="",INDEX([17]第３表!$F$80:$Q$136,MATCH([17]設定!$D36,[17]第３表!$C$80:$C$136,0),8),[17]設定!$H36))</f>
        <v>4.4000000000000004</v>
      </c>
      <c r="M22" s="56">
        <f>IF($D22="","",IF([17]設定!$H36="",INDEX([17]第３表!$F$80:$Q$136,MATCH([17]設定!$D36,[17]第３表!$C$80:$C$136,0),9),[17]設定!$H36))</f>
        <v>18.600000000000001</v>
      </c>
      <c r="N22" s="56">
        <f>IF($D22="","",IF([17]設定!$H36="",INDEX([17]第３表!$F$80:$Q$136,MATCH([17]設定!$D36,[17]第３表!$C$80:$C$136,0),10),[17]設定!$H36))</f>
        <v>135.69999999999999</v>
      </c>
      <c r="O22" s="56">
        <f>IF($D22="","",IF([17]設定!$H36="",INDEX([17]第３表!$F$80:$Q$136,MATCH([17]設定!$D36,[17]第３表!$C$80:$C$136,0),11),[17]設定!$H36))</f>
        <v>131</v>
      </c>
      <c r="P22" s="57">
        <f>IF($D22="","",IF([17]設定!$H36="",INDEX([17]第３表!$F$80:$Q$136,MATCH([17]設定!$D36,[17]第３表!$C$80:$C$136,0),12),[17]設定!$H36))</f>
        <v>4.7</v>
      </c>
    </row>
    <row r="23" spans="2:16" s="8" customFormat="1" ht="17.25" customHeight="1" x14ac:dyDescent="0.45">
      <c r="B23" s="49" t="str">
        <f>+[18]第５表!B23</f>
        <v>Q</v>
      </c>
      <c r="C23" s="50"/>
      <c r="D23" s="51" t="str">
        <f>+[18]第５表!D23</f>
        <v>複合サービス事業</v>
      </c>
      <c r="E23" s="52">
        <f>IF($D23="","",IF([17]設定!$H37="",INDEX([17]第３表!$F$80:$Q$136,MATCH([17]設定!$D37,[17]第３表!$C$80:$C$136,0),1),[17]設定!$H37))</f>
        <v>19.3</v>
      </c>
      <c r="F23" s="52">
        <f>IF($D23="","",IF([17]設定!$H37="",INDEX([17]第３表!$F$80:$Q$136,MATCH([17]設定!$D37,[17]第３表!$C$80:$C$136,0),2),[17]設定!$H37))</f>
        <v>152</v>
      </c>
      <c r="G23" s="52">
        <f>IF($D23="","",IF([17]設定!$H37="",INDEX([17]第３表!$F$80:$Q$136,MATCH([17]設定!$D37,[17]第３表!$C$80:$C$136,0),3),[17]設定!$H37))</f>
        <v>148.1</v>
      </c>
      <c r="H23" s="53">
        <f>IF($D23="","",IF([17]設定!$H37="",INDEX([17]第３表!$F$80:$Q$136,MATCH([17]設定!$D37,[17]第３表!$C$80:$C$136,0),4),[17]設定!$H37))</f>
        <v>3.9</v>
      </c>
      <c r="I23" s="54">
        <f>IF($D23="","",IF([17]設定!$H37="",INDEX([17]第３表!$F$80:$Q$136,MATCH([17]設定!$D37,[17]第３表!$C$80:$C$136,0),5),[17]設定!$H37))</f>
        <v>19.3</v>
      </c>
      <c r="J23" s="54">
        <f>IF($D23="","",IF([17]設定!$H37="",INDEX([17]第３表!$F$80:$Q$136,MATCH([17]設定!$D37,[17]第３表!$C$80:$C$136,0),6),[17]設定!$H37))</f>
        <v>156</v>
      </c>
      <c r="K23" s="54">
        <f>IF($D23="","",IF([17]設定!$H37="",INDEX([17]第３表!$F$80:$Q$136,MATCH([17]設定!$D37,[17]第３表!$C$80:$C$136,0),7),[17]設定!$H37))</f>
        <v>151.1</v>
      </c>
      <c r="L23" s="55">
        <f>IF($D23="","",IF([17]設定!$H37="",INDEX([17]第３表!$F$80:$Q$136,MATCH([17]設定!$D37,[17]第３表!$C$80:$C$136,0),8),[17]設定!$H37))</f>
        <v>4.9000000000000004</v>
      </c>
      <c r="M23" s="56">
        <f>IF($D23="","",IF([17]設定!$H37="",INDEX([17]第３表!$F$80:$Q$136,MATCH([17]設定!$D37,[17]第３表!$C$80:$C$136,0),9),[17]設定!$H37))</f>
        <v>19.100000000000001</v>
      </c>
      <c r="N23" s="56">
        <f>IF($D23="","",IF([17]設定!$H37="",INDEX([17]第３表!$F$80:$Q$136,MATCH([17]設定!$D37,[17]第３表!$C$80:$C$136,0),10),[17]設定!$H37))</f>
        <v>144.80000000000001</v>
      </c>
      <c r="O23" s="56">
        <f>IF($D23="","",IF([17]設定!$H37="",INDEX([17]第３表!$F$80:$Q$136,MATCH([17]設定!$D37,[17]第３表!$C$80:$C$136,0),11),[17]設定!$H37))</f>
        <v>142.80000000000001</v>
      </c>
      <c r="P23" s="57">
        <f>IF($D23="","",IF([17]設定!$H37="",INDEX([17]第３表!$F$80:$Q$136,MATCH([17]設定!$D37,[17]第３表!$C$80:$C$136,0),12),[17]設定!$H37))</f>
        <v>2</v>
      </c>
    </row>
    <row r="24" spans="2:16" s="8" customFormat="1" ht="17.25" customHeight="1" x14ac:dyDescent="0.45">
      <c r="B24" s="49" t="str">
        <f>+[18]第５表!B24</f>
        <v>R</v>
      </c>
      <c r="C24" s="50"/>
      <c r="D24" s="62" t="str">
        <f>+[18]第５表!D24</f>
        <v>サービス業（他に分類されないもの）</v>
      </c>
      <c r="E24" s="52">
        <f>IF($D24="","",IF([17]設定!$H38="",INDEX([17]第３表!$F$80:$Q$136,MATCH([17]設定!$D38,[17]第３表!$C$80:$C$136,0),1),[17]設定!$H38))</f>
        <v>18.8</v>
      </c>
      <c r="F24" s="52">
        <f>IF($D24="","",IF([17]設定!$H38="",INDEX([17]第３表!$F$80:$Q$136,MATCH([17]設定!$D38,[17]第３表!$C$80:$C$136,0),2),[17]設定!$H38))</f>
        <v>144</v>
      </c>
      <c r="G24" s="52">
        <f>IF($D24="","",IF([17]設定!$H38="",INDEX([17]第３表!$F$80:$Q$136,MATCH([17]設定!$D38,[17]第３表!$C$80:$C$136,0),3),[17]設定!$H38))</f>
        <v>135.5</v>
      </c>
      <c r="H24" s="53">
        <f>IF($D24="","",IF([17]設定!$H38="",INDEX([17]第３表!$F$80:$Q$136,MATCH([17]設定!$D38,[17]第３表!$C$80:$C$136,0),4),[17]設定!$H38))</f>
        <v>8.5</v>
      </c>
      <c r="I24" s="54">
        <f>IF($D24="","",IF([17]設定!$H38="",INDEX([17]第３表!$F$80:$Q$136,MATCH([17]設定!$D38,[17]第３表!$C$80:$C$136,0),5),[17]設定!$H38))</f>
        <v>19.2</v>
      </c>
      <c r="J24" s="54">
        <f>IF($D24="","",IF([17]設定!$H38="",INDEX([17]第３表!$F$80:$Q$136,MATCH([17]設定!$D38,[17]第３表!$C$80:$C$136,0),6),[17]設定!$H38))</f>
        <v>156.9</v>
      </c>
      <c r="K24" s="54">
        <f>IF($D24="","",IF([17]設定!$H38="",INDEX([17]第３表!$F$80:$Q$136,MATCH([17]設定!$D38,[17]第３表!$C$80:$C$136,0),7),[17]設定!$H38))</f>
        <v>145</v>
      </c>
      <c r="L24" s="55">
        <f>IF($D24="","",IF([17]設定!$H38="",INDEX([17]第３表!$F$80:$Q$136,MATCH([17]設定!$D38,[17]第３表!$C$80:$C$136,0),8),[17]設定!$H38))</f>
        <v>11.9</v>
      </c>
      <c r="M24" s="56">
        <f>IF($D24="","",IF([17]設定!$H38="",INDEX([17]第３表!$F$80:$Q$136,MATCH([17]設定!$D38,[17]第３表!$C$80:$C$136,0),9),[17]設定!$H38))</f>
        <v>18.3</v>
      </c>
      <c r="N24" s="56">
        <f>IF($D24="","",IF([17]設定!$H38="",INDEX([17]第３表!$F$80:$Q$136,MATCH([17]設定!$D38,[17]第３表!$C$80:$C$136,0),10),[17]設定!$H38))</f>
        <v>128.1</v>
      </c>
      <c r="O24" s="56">
        <f>IF($D24="","",IF([17]設定!$H38="",INDEX([17]第３表!$F$80:$Q$136,MATCH([17]設定!$D38,[17]第３表!$C$80:$C$136,0),11),[17]設定!$H38))</f>
        <v>123.8</v>
      </c>
      <c r="P24" s="57">
        <f>IF($D24="","",IF([17]設定!$H38="",INDEX([17]第３表!$F$80:$Q$136,MATCH([17]設定!$D38,[17]第３表!$C$80:$C$136,0),12),[17]設定!$H38))</f>
        <v>4.3</v>
      </c>
    </row>
    <row r="25" spans="2:16" s="8" customFormat="1" ht="17.25" customHeight="1" x14ac:dyDescent="0.45">
      <c r="B25" s="45" t="str">
        <f>+[18]第５表!B25</f>
        <v>E09,10</v>
      </c>
      <c r="C25" s="46"/>
      <c r="D25" s="63" t="str">
        <f>+[18]第５表!D25</f>
        <v>食料品・たばこ</v>
      </c>
      <c r="E25" s="48">
        <f>IF($D25="","",IF([17]設定!$H39="",INDEX([17]第３表!$F$80:$Q$136,MATCH([17]設定!$D39,[17]第３表!$C$80:$C$136,0),1),[17]設定!$H39))</f>
        <v>19.2</v>
      </c>
      <c r="F25" s="48">
        <f>IF($D25="","",IF([17]設定!$H39="",INDEX([17]第３表!$F$80:$Q$136,MATCH([17]設定!$D39,[17]第３表!$C$80:$C$136,0),2),[17]設定!$H39))</f>
        <v>150.4</v>
      </c>
      <c r="G25" s="48">
        <f>IF($D25="","",IF([17]設定!$H39="",INDEX([17]第３表!$F$80:$Q$136,MATCH([17]設定!$D39,[17]第３表!$C$80:$C$136,0),3),[17]設定!$H39))</f>
        <v>141.69999999999999</v>
      </c>
      <c r="H25" s="64">
        <f>IF($D25="","",IF([17]設定!$H39="",INDEX([17]第３表!$F$80:$Q$136,MATCH([17]設定!$D39,[17]第３表!$C$80:$C$136,0),4),[17]設定!$H39))</f>
        <v>8.6999999999999993</v>
      </c>
      <c r="I25" s="48">
        <f>IF($D25="","",IF([17]設定!$H39="",INDEX([17]第３表!$F$80:$Q$136,MATCH([17]設定!$D39,[17]第３表!$C$80:$C$136,0),5),[17]設定!$H39))</f>
        <v>20.100000000000001</v>
      </c>
      <c r="J25" s="48">
        <f>IF($D25="","",IF([17]設定!$H39="",INDEX([17]第３表!$F$80:$Q$136,MATCH([17]設定!$D39,[17]第３表!$C$80:$C$136,0),6),[17]設定!$H39))</f>
        <v>167.4</v>
      </c>
      <c r="K25" s="48">
        <f>IF($D25="","",IF([17]設定!$H39="",INDEX([17]第３表!$F$80:$Q$136,MATCH([17]設定!$D39,[17]第３表!$C$80:$C$136,0),7),[17]設定!$H39))</f>
        <v>154.4</v>
      </c>
      <c r="L25" s="64">
        <f>IF($D25="","",IF([17]設定!$H39="",INDEX([17]第３表!$F$80:$Q$136,MATCH([17]設定!$D39,[17]第３表!$C$80:$C$136,0),8),[17]設定!$H39))</f>
        <v>13</v>
      </c>
      <c r="M25" s="48">
        <f>IF($D25="","",IF([17]設定!$H39="",INDEX([17]第３表!$F$80:$Q$136,MATCH([17]設定!$D39,[17]第３表!$C$80:$C$136,0),9),[17]設定!$H39))</f>
        <v>18.5</v>
      </c>
      <c r="N25" s="48">
        <f>IF($D25="","",IF([17]設定!$H39="",INDEX([17]第３表!$F$80:$Q$136,MATCH([17]設定!$D39,[17]第３表!$C$80:$C$136,0),10),[17]設定!$H39))</f>
        <v>138.9</v>
      </c>
      <c r="O25" s="48">
        <f>IF($D25="","",IF([17]設定!$H39="",INDEX([17]第３表!$F$80:$Q$136,MATCH([17]設定!$D39,[17]第３表!$C$80:$C$136,0),11),[17]設定!$H39))</f>
        <v>133.1</v>
      </c>
      <c r="P25" s="64">
        <f>IF($D25="","",IF([17]設定!$H39="",INDEX([17]第３表!$F$80:$Q$136,MATCH([17]設定!$D39,[17]第３表!$C$80:$C$136,0),12),[17]設定!$H39))</f>
        <v>5.8</v>
      </c>
    </row>
    <row r="26" spans="2:16" s="8" customFormat="1" ht="17.25" customHeight="1" x14ac:dyDescent="0.45">
      <c r="B26" s="49" t="str">
        <f>+[18]第５表!B26</f>
        <v>E11</v>
      </c>
      <c r="C26" s="50"/>
      <c r="D26" s="65" t="str">
        <f>+[18]第５表!D26</f>
        <v>繊維工業</v>
      </c>
      <c r="E26" s="52">
        <f>IF($D26="","",IF([17]設定!$H40="",INDEX([17]第３表!$F$80:$Q$136,MATCH([17]設定!$D40,[17]第３表!$C$80:$C$136,0),1),[17]設定!$H40))</f>
        <v>19.399999999999999</v>
      </c>
      <c r="F26" s="52">
        <f>IF($D26="","",IF([17]設定!$H40="",INDEX([17]第３表!$F$80:$Q$136,MATCH([17]設定!$D40,[17]第３表!$C$80:$C$136,0),2),[17]設定!$H40))</f>
        <v>153.5</v>
      </c>
      <c r="G26" s="52">
        <f>IF($D26="","",IF([17]設定!$H40="",INDEX([17]第３表!$F$80:$Q$136,MATCH([17]設定!$D40,[17]第３表!$C$80:$C$136,0),3),[17]設定!$H40))</f>
        <v>141.9</v>
      </c>
      <c r="H26" s="55">
        <f>IF($D26="","",IF([17]設定!$H40="",INDEX([17]第３表!$F$80:$Q$136,MATCH([17]設定!$D40,[17]第３表!$C$80:$C$136,0),4),[17]設定!$H40))</f>
        <v>11.6</v>
      </c>
      <c r="I26" s="52">
        <f>IF($D26="","",IF([17]設定!$H40="",INDEX([17]第３表!$F$80:$Q$136,MATCH([17]設定!$D40,[17]第３表!$C$80:$C$136,0),5),[17]設定!$H40))</f>
        <v>19.5</v>
      </c>
      <c r="J26" s="52">
        <f>IF($D26="","",IF([17]設定!$H40="",INDEX([17]第３表!$F$80:$Q$136,MATCH([17]設定!$D40,[17]第３表!$C$80:$C$136,0),6),[17]設定!$H40))</f>
        <v>159.5</v>
      </c>
      <c r="K26" s="52">
        <f>IF($D26="","",IF([17]設定!$H40="",INDEX([17]第３表!$F$80:$Q$136,MATCH([17]設定!$D40,[17]第３表!$C$80:$C$136,0),7),[17]設定!$H40))</f>
        <v>144.4</v>
      </c>
      <c r="L26" s="55">
        <f>IF($D26="","",IF([17]設定!$H40="",INDEX([17]第３表!$F$80:$Q$136,MATCH([17]設定!$D40,[17]第３表!$C$80:$C$136,0),8),[17]設定!$H40))</f>
        <v>15.1</v>
      </c>
      <c r="M26" s="52">
        <f>IF($D26="","",IF([17]設定!$H40="",INDEX([17]第３表!$F$80:$Q$136,MATCH([17]設定!$D40,[17]第３表!$C$80:$C$136,0),9),[17]設定!$H40))</f>
        <v>19.3</v>
      </c>
      <c r="N26" s="52">
        <f>IF($D26="","",IF([17]設定!$H40="",INDEX([17]第３表!$F$80:$Q$136,MATCH([17]設定!$D40,[17]第３表!$C$80:$C$136,0),10),[17]設定!$H40))</f>
        <v>150.1</v>
      </c>
      <c r="O26" s="52">
        <f>IF($D26="","",IF([17]設定!$H40="",INDEX([17]第３表!$F$80:$Q$136,MATCH([17]設定!$D40,[17]第３表!$C$80:$C$136,0),11),[17]設定!$H40))</f>
        <v>140.4</v>
      </c>
      <c r="P26" s="55">
        <f>IF($D26="","",IF([17]設定!$H40="",INDEX([17]第３表!$F$80:$Q$136,MATCH([17]設定!$D40,[17]第３表!$C$80:$C$136,0),12),[17]設定!$H40))</f>
        <v>9.6999999999999993</v>
      </c>
    </row>
    <row r="27" spans="2:16" s="8" customFormat="1" ht="17.25" customHeight="1" x14ac:dyDescent="0.45">
      <c r="B27" s="49" t="str">
        <f>+[18]第５表!B27</f>
        <v>E12</v>
      </c>
      <c r="C27" s="50"/>
      <c r="D27" s="65" t="str">
        <f>+[18]第５表!D27</f>
        <v>木材・木製品</v>
      </c>
      <c r="E27" s="52">
        <f>IF($D27="","",IF([17]設定!$H41="",INDEX([17]第３表!$F$80:$Q$136,MATCH([17]設定!$D41,[17]第３表!$C$80:$C$136,0),1),[17]設定!$H41))</f>
        <v>19.2</v>
      </c>
      <c r="F27" s="52">
        <f>IF($D27="","",IF([17]設定!$H41="",INDEX([17]第３表!$F$80:$Q$136,MATCH([17]設定!$D41,[17]第３表!$C$80:$C$136,0),2),[17]設定!$H41))</f>
        <v>153.6</v>
      </c>
      <c r="G27" s="52">
        <f>IF($D27="","",IF([17]設定!$H41="",INDEX([17]第３表!$F$80:$Q$136,MATCH([17]設定!$D41,[17]第３表!$C$80:$C$136,0),3),[17]設定!$H41))</f>
        <v>144.69999999999999</v>
      </c>
      <c r="H27" s="55">
        <f>IF($D27="","",IF([17]設定!$H41="",INDEX([17]第３表!$F$80:$Q$136,MATCH([17]設定!$D41,[17]第３表!$C$80:$C$136,0),4),[17]設定!$H41))</f>
        <v>8.9</v>
      </c>
      <c r="I27" s="52">
        <f>IF($D27="","",IF([17]設定!$H41="",INDEX([17]第３表!$F$80:$Q$136,MATCH([17]設定!$D41,[17]第３表!$C$80:$C$136,0),5),[17]設定!$H41))</f>
        <v>19.100000000000001</v>
      </c>
      <c r="J27" s="52">
        <f>IF($D27="","",IF([17]設定!$H41="",INDEX([17]第３表!$F$80:$Q$136,MATCH([17]設定!$D41,[17]第３表!$C$80:$C$136,0),6),[17]設定!$H41))</f>
        <v>158.6</v>
      </c>
      <c r="K27" s="52">
        <f>IF($D27="","",IF([17]設定!$H41="",INDEX([17]第３表!$F$80:$Q$136,MATCH([17]設定!$D41,[17]第３表!$C$80:$C$136,0),7),[17]設定!$H41))</f>
        <v>147.80000000000001</v>
      </c>
      <c r="L27" s="55">
        <f>IF($D27="","",IF([17]設定!$H41="",INDEX([17]第３表!$F$80:$Q$136,MATCH([17]設定!$D41,[17]第３表!$C$80:$C$136,0),8),[17]設定!$H41))</f>
        <v>10.8</v>
      </c>
      <c r="M27" s="52">
        <f>IF($D27="","",IF([17]設定!$H41="",INDEX([17]第３表!$F$80:$Q$136,MATCH([17]設定!$D41,[17]第３表!$C$80:$C$136,0),9),[17]設定!$H41))</f>
        <v>19.399999999999999</v>
      </c>
      <c r="N27" s="52">
        <f>IF($D27="","",IF([17]設定!$H41="",INDEX([17]第３表!$F$80:$Q$136,MATCH([17]設定!$D41,[17]第３表!$C$80:$C$136,0),10),[17]設定!$H41))</f>
        <v>139.1</v>
      </c>
      <c r="O27" s="52">
        <f>IF($D27="","",IF([17]設定!$H41="",INDEX([17]第３表!$F$80:$Q$136,MATCH([17]設定!$D41,[17]第３表!$C$80:$C$136,0),11),[17]設定!$H41))</f>
        <v>135.69999999999999</v>
      </c>
      <c r="P27" s="55">
        <f>IF($D27="","",IF([17]設定!$H41="",INDEX([17]第３表!$F$80:$Q$136,MATCH([17]設定!$D41,[17]第３表!$C$80:$C$136,0),12),[17]設定!$H41))</f>
        <v>3.4</v>
      </c>
    </row>
    <row r="28" spans="2:16" s="8" customFormat="1" ht="17.25" customHeight="1" x14ac:dyDescent="0.45">
      <c r="B28" s="49" t="str">
        <f>+[18]第５表!B28</f>
        <v>E13</v>
      </c>
      <c r="C28" s="50"/>
      <c r="D28" s="65" t="str">
        <f>+[18]第５表!D28</f>
        <v>家具・装備品</v>
      </c>
      <c r="E28" s="52" t="str">
        <f>IF($D28="","",IF([17]設定!$H42="",INDEX([17]第３表!$F$80:$Q$136,MATCH([17]設定!$D42,[17]第３表!$C$80:$C$136,0),1),[17]設定!$H42))</f>
        <v>x</v>
      </c>
      <c r="F28" s="52" t="str">
        <f>IF($D28="","",IF([17]設定!$H42="",INDEX([17]第３表!$F$80:$Q$136,MATCH([17]設定!$D42,[17]第３表!$C$80:$C$136,0),2),[17]設定!$H42))</f>
        <v>x</v>
      </c>
      <c r="G28" s="52" t="str">
        <f>IF($D28="","",IF([17]設定!$H42="",INDEX([17]第３表!$F$80:$Q$136,MATCH([17]設定!$D42,[17]第３表!$C$80:$C$136,0),3),[17]設定!$H42))</f>
        <v>x</v>
      </c>
      <c r="H28" s="55" t="str">
        <f>IF($D28="","",IF([17]設定!$H42="",INDEX([17]第３表!$F$80:$Q$136,MATCH([17]設定!$D42,[17]第３表!$C$80:$C$136,0),4),[17]設定!$H42))</f>
        <v>x</v>
      </c>
      <c r="I28" s="52" t="str">
        <f>IF($D28="","",IF([17]設定!$H42="",INDEX([17]第３表!$F$80:$Q$136,MATCH([17]設定!$D42,[17]第３表!$C$80:$C$136,0),5),[17]設定!$H42))</f>
        <v>x</v>
      </c>
      <c r="J28" s="52" t="str">
        <f>IF($D28="","",IF([17]設定!$H42="",INDEX([17]第３表!$F$80:$Q$136,MATCH([17]設定!$D42,[17]第３表!$C$80:$C$136,0),6),[17]設定!$H42))</f>
        <v>x</v>
      </c>
      <c r="K28" s="52" t="str">
        <f>IF($D28="","",IF([17]設定!$H42="",INDEX([17]第３表!$F$80:$Q$136,MATCH([17]設定!$D42,[17]第３表!$C$80:$C$136,0),7),[17]設定!$H42))</f>
        <v>x</v>
      </c>
      <c r="L28" s="55" t="str">
        <f>IF($D28="","",IF([17]設定!$H42="",INDEX([17]第３表!$F$80:$Q$136,MATCH([17]設定!$D42,[17]第３表!$C$80:$C$136,0),8),[17]設定!$H42))</f>
        <v>x</v>
      </c>
      <c r="M28" s="52" t="str">
        <f>IF($D28="","",IF([17]設定!$H42="",INDEX([17]第３表!$F$80:$Q$136,MATCH([17]設定!$D42,[17]第３表!$C$80:$C$136,0),9),[17]設定!$H42))</f>
        <v>x</v>
      </c>
      <c r="N28" s="52" t="str">
        <f>IF($D28="","",IF([17]設定!$H42="",INDEX([17]第３表!$F$80:$Q$136,MATCH([17]設定!$D42,[17]第３表!$C$80:$C$136,0),10),[17]設定!$H42))</f>
        <v>x</v>
      </c>
      <c r="O28" s="52" t="str">
        <f>IF($D28="","",IF([17]設定!$H42="",INDEX([17]第３表!$F$80:$Q$136,MATCH([17]設定!$D42,[17]第３表!$C$80:$C$136,0),11),[17]設定!$H42))</f>
        <v>x</v>
      </c>
      <c r="P28" s="55" t="str">
        <f>IF($D28="","",IF([17]設定!$H42="",INDEX([17]第３表!$F$80:$Q$136,MATCH([17]設定!$D42,[17]第３表!$C$80:$C$136,0),12),[17]設定!$H42))</f>
        <v>x</v>
      </c>
    </row>
    <row r="29" spans="2:16" s="8" customFormat="1" ht="17.25" customHeight="1" x14ac:dyDescent="0.45">
      <c r="B29" s="49" t="str">
        <f>+[18]第５表!B29</f>
        <v>E15</v>
      </c>
      <c r="C29" s="50"/>
      <c r="D29" s="65" t="str">
        <f>+[18]第５表!D29</f>
        <v>印刷・同関連業</v>
      </c>
      <c r="E29" s="52">
        <f>IF($D29="","",IF([17]設定!$H43="",INDEX([17]第３表!$F$80:$Q$136,MATCH([17]設定!$D43,[17]第３表!$C$80:$C$136,0),1),[17]設定!$H43))</f>
        <v>20.2</v>
      </c>
      <c r="F29" s="52">
        <f>IF($D29="","",IF([17]設定!$H43="",INDEX([17]第３表!$F$80:$Q$136,MATCH([17]設定!$D43,[17]第３表!$C$80:$C$136,0),2),[17]設定!$H43))</f>
        <v>163.19999999999999</v>
      </c>
      <c r="G29" s="52">
        <f>IF($D29="","",IF([17]設定!$H43="",INDEX([17]第３表!$F$80:$Q$136,MATCH([17]設定!$D43,[17]第３表!$C$80:$C$136,0),3),[17]設定!$H43))</f>
        <v>154.9</v>
      </c>
      <c r="H29" s="55">
        <f>IF($D29="","",IF([17]設定!$H43="",INDEX([17]第３表!$F$80:$Q$136,MATCH([17]設定!$D43,[17]第３表!$C$80:$C$136,0),4),[17]設定!$H43))</f>
        <v>8.3000000000000007</v>
      </c>
      <c r="I29" s="52">
        <f>IF($D29="","",IF([17]設定!$H43="",INDEX([17]第３表!$F$80:$Q$136,MATCH([17]設定!$D43,[17]第３表!$C$80:$C$136,0),5),[17]設定!$H43))</f>
        <v>20.3</v>
      </c>
      <c r="J29" s="52">
        <f>IF($D29="","",IF([17]設定!$H43="",INDEX([17]第３表!$F$80:$Q$136,MATCH([17]設定!$D43,[17]第３表!$C$80:$C$136,0),6),[17]設定!$H43))</f>
        <v>164.5</v>
      </c>
      <c r="K29" s="52">
        <f>IF($D29="","",IF([17]設定!$H43="",INDEX([17]第３表!$F$80:$Q$136,MATCH([17]設定!$D43,[17]第３表!$C$80:$C$136,0),7),[17]設定!$H43))</f>
        <v>154.69999999999999</v>
      </c>
      <c r="L29" s="55">
        <f>IF($D29="","",IF([17]設定!$H43="",INDEX([17]第３表!$F$80:$Q$136,MATCH([17]設定!$D43,[17]第３表!$C$80:$C$136,0),8),[17]設定!$H43))</f>
        <v>9.8000000000000007</v>
      </c>
      <c r="M29" s="52">
        <f>IF($D29="","",IF([17]設定!$H43="",INDEX([17]第３表!$F$80:$Q$136,MATCH([17]設定!$D43,[17]第３表!$C$80:$C$136,0),9),[17]設定!$H43))</f>
        <v>20.100000000000001</v>
      </c>
      <c r="N29" s="52">
        <f>IF($D29="","",IF([17]設定!$H43="",INDEX([17]第３表!$F$80:$Q$136,MATCH([17]設定!$D43,[17]第３表!$C$80:$C$136,0),10),[17]設定!$H43))</f>
        <v>160.5</v>
      </c>
      <c r="O29" s="52">
        <f>IF($D29="","",IF([17]設定!$H43="",INDEX([17]第３表!$F$80:$Q$136,MATCH([17]設定!$D43,[17]第３表!$C$80:$C$136,0),11),[17]設定!$H43))</f>
        <v>155.4</v>
      </c>
      <c r="P29" s="55">
        <f>IF($D29="","",IF([17]設定!$H43="",INDEX([17]第３表!$F$80:$Q$136,MATCH([17]設定!$D43,[17]第３表!$C$80:$C$136,0),12),[17]設定!$H43))</f>
        <v>5.0999999999999996</v>
      </c>
    </row>
    <row r="30" spans="2:16" s="8" customFormat="1" ht="17.25" customHeight="1" x14ac:dyDescent="0.45">
      <c r="B30" s="49" t="str">
        <f>+[18]第５表!B30</f>
        <v>E16,17</v>
      </c>
      <c r="C30" s="50"/>
      <c r="D30" s="65" t="str">
        <f>+[18]第５表!D30</f>
        <v>化学、石油・石炭</v>
      </c>
      <c r="E30" s="52">
        <f>IF($D30="","",IF([17]設定!$H44="",INDEX([17]第３表!$F$80:$Q$136,MATCH([17]設定!$D44,[17]第３表!$C$80:$C$136,0),1),[17]設定!$H44))</f>
        <v>20</v>
      </c>
      <c r="F30" s="52">
        <f>IF($D30="","",IF([17]設定!$H44="",INDEX([17]第３表!$F$80:$Q$136,MATCH([17]設定!$D44,[17]第３表!$C$80:$C$136,0),2),[17]設定!$H44))</f>
        <v>164.6</v>
      </c>
      <c r="G30" s="52">
        <f>IF($D30="","",IF([17]設定!$H44="",INDEX([17]第３表!$F$80:$Q$136,MATCH([17]設定!$D44,[17]第３表!$C$80:$C$136,0),3),[17]設定!$H44))</f>
        <v>147.5</v>
      </c>
      <c r="H30" s="55">
        <f>IF($D30="","",IF([17]設定!$H44="",INDEX([17]第３表!$F$80:$Q$136,MATCH([17]設定!$D44,[17]第３表!$C$80:$C$136,0),4),[17]設定!$H44))</f>
        <v>17.100000000000001</v>
      </c>
      <c r="I30" s="52">
        <f>IF($D30="","",IF([17]設定!$H44="",INDEX([17]第３表!$F$80:$Q$136,MATCH([17]設定!$D44,[17]第３表!$C$80:$C$136,0),5),[17]設定!$H44))</f>
        <v>20.100000000000001</v>
      </c>
      <c r="J30" s="52">
        <f>IF($D30="","",IF([17]設定!$H44="",INDEX([17]第３表!$F$80:$Q$136,MATCH([17]設定!$D44,[17]第３表!$C$80:$C$136,0),6),[17]設定!$H44))</f>
        <v>166.1</v>
      </c>
      <c r="K30" s="52">
        <f>IF($D30="","",IF([17]設定!$H44="",INDEX([17]第３表!$F$80:$Q$136,MATCH([17]設定!$D44,[17]第３表!$C$80:$C$136,0),7),[17]設定!$H44))</f>
        <v>148</v>
      </c>
      <c r="L30" s="55">
        <f>IF($D30="","",IF([17]設定!$H44="",INDEX([17]第３表!$F$80:$Q$136,MATCH([17]設定!$D44,[17]第３表!$C$80:$C$136,0),8),[17]設定!$H44))</f>
        <v>18.100000000000001</v>
      </c>
      <c r="M30" s="52">
        <f>IF($D30="","",IF([17]設定!$H44="",INDEX([17]第３表!$F$80:$Q$136,MATCH([17]設定!$D44,[17]第３表!$C$80:$C$136,0),9),[17]設定!$H44))</f>
        <v>19.100000000000001</v>
      </c>
      <c r="N30" s="52">
        <f>IF($D30="","",IF([17]設定!$H44="",INDEX([17]第３表!$F$80:$Q$136,MATCH([17]設定!$D44,[17]第３表!$C$80:$C$136,0),10),[17]設定!$H44))</f>
        <v>149.4</v>
      </c>
      <c r="O30" s="52">
        <f>IF($D30="","",IF([17]設定!$H44="",INDEX([17]第３表!$F$80:$Q$136,MATCH([17]設定!$D44,[17]第３表!$C$80:$C$136,0),11),[17]設定!$H44))</f>
        <v>142</v>
      </c>
      <c r="P30" s="55">
        <f>IF($D30="","",IF([17]設定!$H44="",INDEX([17]第３表!$F$80:$Q$136,MATCH([17]設定!$D44,[17]第３表!$C$80:$C$136,0),12),[17]設定!$H44))</f>
        <v>7.4</v>
      </c>
    </row>
    <row r="31" spans="2:16" s="8" customFormat="1" ht="17.25" customHeight="1" x14ac:dyDescent="0.45">
      <c r="B31" s="49" t="str">
        <f>+[18]第５表!B31</f>
        <v>E18</v>
      </c>
      <c r="C31" s="50"/>
      <c r="D31" s="65" t="str">
        <f>+[18]第５表!D31</f>
        <v>プラスチック製品</v>
      </c>
      <c r="E31" s="52">
        <f>IF($D31="","",IF([17]設定!$H45="",INDEX([17]第３表!$F$80:$Q$136,MATCH([17]設定!$D45,[17]第３表!$C$80:$C$136,0),1),[17]設定!$H45))</f>
        <v>20.100000000000001</v>
      </c>
      <c r="F31" s="52">
        <f>IF($D31="","",IF([17]設定!$H45="",INDEX([17]第３表!$F$80:$Q$136,MATCH([17]設定!$D45,[17]第３表!$C$80:$C$136,0),2),[17]設定!$H45))</f>
        <v>150</v>
      </c>
      <c r="G31" s="52">
        <f>IF($D31="","",IF([17]設定!$H45="",INDEX([17]第３表!$F$80:$Q$136,MATCH([17]設定!$D45,[17]第３表!$C$80:$C$136,0),3),[17]設定!$H45))</f>
        <v>143</v>
      </c>
      <c r="H31" s="55">
        <f>IF($D31="","",IF([17]設定!$H45="",INDEX([17]第３表!$F$80:$Q$136,MATCH([17]設定!$D45,[17]第３表!$C$80:$C$136,0),4),[17]設定!$H45))</f>
        <v>7</v>
      </c>
      <c r="I31" s="52">
        <f>IF($D31="","",IF([17]設定!$H45="",INDEX([17]第３表!$F$80:$Q$136,MATCH([17]設定!$D45,[17]第３表!$C$80:$C$136,0),5),[17]設定!$H45))</f>
        <v>20.399999999999999</v>
      </c>
      <c r="J31" s="52">
        <f>IF($D31="","",IF([17]設定!$H45="",INDEX([17]第３表!$F$80:$Q$136,MATCH([17]設定!$D45,[17]第３表!$C$80:$C$136,0),6),[17]設定!$H45))</f>
        <v>164.8</v>
      </c>
      <c r="K31" s="52">
        <f>IF($D31="","",IF([17]設定!$H45="",INDEX([17]第３表!$F$80:$Q$136,MATCH([17]設定!$D45,[17]第３表!$C$80:$C$136,0),7),[17]設定!$H45))</f>
        <v>154.80000000000001</v>
      </c>
      <c r="L31" s="55">
        <f>IF($D31="","",IF([17]設定!$H45="",INDEX([17]第３表!$F$80:$Q$136,MATCH([17]設定!$D45,[17]第３表!$C$80:$C$136,0),8),[17]設定!$H45))</f>
        <v>10</v>
      </c>
      <c r="M31" s="52">
        <f>IF($D31="","",IF([17]設定!$H45="",INDEX([17]第３表!$F$80:$Q$136,MATCH([17]設定!$D45,[17]第３表!$C$80:$C$136,0),9),[17]設定!$H45))</f>
        <v>19.5</v>
      </c>
      <c r="N31" s="52">
        <f>IF($D31="","",IF([17]設定!$H45="",INDEX([17]第３表!$F$80:$Q$136,MATCH([17]設定!$D45,[17]第３表!$C$80:$C$136,0),10),[17]設定!$H45))</f>
        <v>120.3</v>
      </c>
      <c r="O31" s="52">
        <f>IF($D31="","",IF([17]設定!$H45="",INDEX([17]第３表!$F$80:$Q$136,MATCH([17]設定!$D45,[17]第３表!$C$80:$C$136,0),11),[17]設定!$H45))</f>
        <v>119.4</v>
      </c>
      <c r="P31" s="55">
        <f>IF($D31="","",IF([17]設定!$H45="",INDEX([17]第３表!$F$80:$Q$136,MATCH([17]設定!$D45,[17]第３表!$C$80:$C$136,0),12),[17]設定!$H45))</f>
        <v>0.9</v>
      </c>
    </row>
    <row r="32" spans="2:16" s="8" customFormat="1" ht="17.25" customHeight="1" x14ac:dyDescent="0.45">
      <c r="B32" s="49" t="str">
        <f>+[18]第５表!B32</f>
        <v>E19</v>
      </c>
      <c r="C32" s="50"/>
      <c r="D32" s="65" t="str">
        <f>+[18]第５表!D32</f>
        <v>ゴム製品</v>
      </c>
      <c r="E32" s="52">
        <f>IF($D32="","",IF([17]設定!$H46="",INDEX([17]第３表!$F$80:$Q$136,MATCH([17]設定!$D46,[17]第３表!$C$80:$C$136,0),1),[17]設定!$H46))</f>
        <v>20.5</v>
      </c>
      <c r="F32" s="52">
        <f>IF($D32="","",IF([17]設定!$H46="",INDEX([17]第３表!$F$80:$Q$136,MATCH([17]設定!$D46,[17]第３表!$C$80:$C$136,0),2),[17]設定!$H46))</f>
        <v>175.3</v>
      </c>
      <c r="G32" s="52">
        <f>IF($D32="","",IF([17]設定!$H46="",INDEX([17]第３表!$F$80:$Q$136,MATCH([17]設定!$D46,[17]第３表!$C$80:$C$136,0),3),[17]設定!$H46))</f>
        <v>150.9</v>
      </c>
      <c r="H32" s="55">
        <f>IF($D32="","",IF([17]設定!$H46="",INDEX([17]第３表!$F$80:$Q$136,MATCH([17]設定!$D46,[17]第３表!$C$80:$C$136,0),4),[17]設定!$H46))</f>
        <v>24.4</v>
      </c>
      <c r="I32" s="52">
        <f>IF($D32="","",IF([17]設定!$H46="",INDEX([17]第３表!$F$80:$Q$136,MATCH([17]設定!$D46,[17]第３表!$C$80:$C$136,0),5),[17]設定!$H46))</f>
        <v>20.6</v>
      </c>
      <c r="J32" s="52">
        <f>IF($D32="","",IF([17]設定!$H46="",INDEX([17]第３表!$F$80:$Q$136,MATCH([17]設定!$D46,[17]第３表!$C$80:$C$136,0),6),[17]設定!$H46))</f>
        <v>176.8</v>
      </c>
      <c r="K32" s="52">
        <f>IF($D32="","",IF([17]設定!$H46="",INDEX([17]第３表!$F$80:$Q$136,MATCH([17]設定!$D46,[17]第３表!$C$80:$C$136,0),7),[17]設定!$H46))</f>
        <v>150.30000000000001</v>
      </c>
      <c r="L32" s="55">
        <f>IF($D32="","",IF([17]設定!$H46="",INDEX([17]第３表!$F$80:$Q$136,MATCH([17]設定!$D46,[17]第３表!$C$80:$C$136,0),8),[17]設定!$H46))</f>
        <v>26.5</v>
      </c>
      <c r="M32" s="52">
        <f>IF($D32="","",IF([17]設定!$H46="",INDEX([17]第３表!$F$80:$Q$136,MATCH([17]設定!$D46,[17]第３表!$C$80:$C$136,0),9),[17]設定!$H46))</f>
        <v>20.2</v>
      </c>
      <c r="N32" s="52">
        <f>IF($D32="","",IF([17]設定!$H46="",INDEX([17]第３表!$F$80:$Q$136,MATCH([17]設定!$D46,[17]第３表!$C$80:$C$136,0),10),[17]設定!$H46))</f>
        <v>165.5</v>
      </c>
      <c r="O32" s="52">
        <f>IF($D32="","",IF([17]設定!$H46="",INDEX([17]第３表!$F$80:$Q$136,MATCH([17]設定!$D46,[17]第３表!$C$80:$C$136,0),11),[17]設定!$H46))</f>
        <v>155</v>
      </c>
      <c r="P32" s="55">
        <f>IF($D32="","",IF([17]設定!$H46="",INDEX([17]第３表!$F$80:$Q$136,MATCH([17]設定!$D46,[17]第３表!$C$80:$C$136,0),12),[17]設定!$H46))</f>
        <v>10.5</v>
      </c>
    </row>
    <row r="33" spans="2:17" s="8" customFormat="1" ht="17.25" customHeight="1" x14ac:dyDescent="0.45">
      <c r="B33" s="49" t="str">
        <f>+[18]第５表!B33</f>
        <v>E21</v>
      </c>
      <c r="C33" s="50"/>
      <c r="D33" s="65" t="str">
        <f>+[18]第５表!D33</f>
        <v>窯業・土石製品</v>
      </c>
      <c r="E33" s="52">
        <f>IF($D33="","",IF([17]設定!$H47="",INDEX([17]第３表!$F$80:$Q$136,MATCH([17]設定!$D47,[17]第３表!$C$80:$C$136,0),1),[17]設定!$H47))</f>
        <v>20</v>
      </c>
      <c r="F33" s="52">
        <f>IF($D33="","",IF([17]設定!$H47="",INDEX([17]第３表!$F$80:$Q$136,MATCH([17]設定!$D47,[17]第３表!$C$80:$C$136,0),2),[17]設定!$H47))</f>
        <v>166.3</v>
      </c>
      <c r="G33" s="52">
        <f>IF($D33="","",IF([17]設定!$H47="",INDEX([17]第３表!$F$80:$Q$136,MATCH([17]設定!$D47,[17]第３表!$C$80:$C$136,0),3),[17]設定!$H47))</f>
        <v>157.69999999999999</v>
      </c>
      <c r="H33" s="55">
        <f>IF($D33="","",IF([17]設定!$H47="",INDEX([17]第３表!$F$80:$Q$136,MATCH([17]設定!$D47,[17]第３表!$C$80:$C$136,0),4),[17]設定!$H47))</f>
        <v>8.6</v>
      </c>
      <c r="I33" s="52">
        <f>IF($D33="","",IF([17]設定!$H47="",INDEX([17]第３表!$F$80:$Q$136,MATCH([17]設定!$D47,[17]第３表!$C$80:$C$136,0),5),[17]設定!$H47))</f>
        <v>19.899999999999999</v>
      </c>
      <c r="J33" s="52">
        <f>IF($D33="","",IF([17]設定!$H47="",INDEX([17]第３表!$F$80:$Q$136,MATCH([17]設定!$D47,[17]第３表!$C$80:$C$136,0),6),[17]設定!$H47))</f>
        <v>168.3</v>
      </c>
      <c r="K33" s="52">
        <f>IF($D33="","",IF([17]設定!$H47="",INDEX([17]第３表!$F$80:$Q$136,MATCH([17]設定!$D47,[17]第３表!$C$80:$C$136,0),7),[17]設定!$H47))</f>
        <v>157.6</v>
      </c>
      <c r="L33" s="55">
        <f>IF($D33="","",IF([17]設定!$H47="",INDEX([17]第３表!$F$80:$Q$136,MATCH([17]設定!$D47,[17]第３表!$C$80:$C$136,0),8),[17]設定!$H47))</f>
        <v>10.7</v>
      </c>
      <c r="M33" s="52">
        <f>IF($D33="","",IF([17]設定!$H47="",INDEX([17]第３表!$F$80:$Q$136,MATCH([17]設定!$D47,[17]第３表!$C$80:$C$136,0),9),[17]設定!$H47))</f>
        <v>20.399999999999999</v>
      </c>
      <c r="N33" s="52">
        <f>IF($D33="","",IF([17]設定!$H47="",INDEX([17]第３表!$F$80:$Q$136,MATCH([17]設定!$D47,[17]第３表!$C$80:$C$136,0),10),[17]設定!$H47))</f>
        <v>158.80000000000001</v>
      </c>
      <c r="O33" s="52">
        <f>IF($D33="","",IF([17]設定!$H47="",INDEX([17]第３表!$F$80:$Q$136,MATCH([17]設定!$D47,[17]第３表!$C$80:$C$136,0),11),[17]設定!$H47))</f>
        <v>157.9</v>
      </c>
      <c r="P33" s="55">
        <f>IF($D33="","",IF([17]設定!$H47="",INDEX([17]第３表!$F$80:$Q$136,MATCH([17]設定!$D47,[17]第３表!$C$80:$C$136,0),12),[17]設定!$H47))</f>
        <v>0.9</v>
      </c>
    </row>
    <row r="34" spans="2:17" s="8" customFormat="1" ht="17.25" customHeight="1" x14ac:dyDescent="0.45">
      <c r="B34" s="49" t="str">
        <f>+[18]第５表!B34</f>
        <v>E24</v>
      </c>
      <c r="C34" s="50"/>
      <c r="D34" s="65" t="str">
        <f>+[18]第５表!D34</f>
        <v>金属製品製造業</v>
      </c>
      <c r="E34" s="55">
        <f>IF($D34="","",IF([17]設定!$H48="",INDEX([17]第３表!$F$80:$Q$136,MATCH([17]設定!$D48,[17]第３表!$C$80:$C$136,0),1),[17]設定!$H48))</f>
        <v>20.2</v>
      </c>
      <c r="F34" s="55">
        <f>IF($D34="","",IF([17]設定!$H48="",INDEX([17]第３表!$F$80:$Q$136,MATCH([17]設定!$D48,[17]第３表!$C$80:$C$136,0),2),[17]設定!$H48))</f>
        <v>162.30000000000001</v>
      </c>
      <c r="G34" s="55">
        <f>IF($D34="","",IF([17]設定!$H48="",INDEX([17]第３表!$F$80:$Q$136,MATCH([17]設定!$D48,[17]第３表!$C$80:$C$136,0),3),[17]設定!$H48))</f>
        <v>153.30000000000001</v>
      </c>
      <c r="H34" s="55">
        <f>IF($D34="","",IF([17]設定!$H48="",INDEX([17]第３表!$F$80:$Q$136,MATCH([17]設定!$D48,[17]第３表!$C$80:$C$136,0),4),[17]設定!$H48))</f>
        <v>9</v>
      </c>
      <c r="I34" s="55">
        <f>IF($D34="","",IF([17]設定!$H48="",INDEX([17]第３表!$F$80:$Q$136,MATCH([17]設定!$D48,[17]第３表!$C$80:$C$136,0),5),[17]設定!$H48))</f>
        <v>20.6</v>
      </c>
      <c r="J34" s="55">
        <f>IF($D34="","",IF([17]設定!$H48="",INDEX([17]第３表!$F$80:$Q$136,MATCH([17]設定!$D48,[17]第３表!$C$80:$C$136,0),6),[17]設定!$H48))</f>
        <v>173.4</v>
      </c>
      <c r="K34" s="55">
        <f>IF($D34="","",IF([17]設定!$H48="",INDEX([17]第３表!$F$80:$Q$136,MATCH([17]設定!$D48,[17]第３表!$C$80:$C$136,0),7),[17]設定!$H48))</f>
        <v>161</v>
      </c>
      <c r="L34" s="55">
        <f>IF($D34="","",IF([17]設定!$H48="",INDEX([17]第３表!$F$80:$Q$136,MATCH([17]設定!$D48,[17]第３表!$C$80:$C$136,0),8),[17]設定!$H48))</f>
        <v>12.4</v>
      </c>
      <c r="M34" s="55">
        <f>IF($D34="","",IF([17]設定!$H48="",INDEX([17]第３表!$F$80:$Q$136,MATCH([17]設定!$D48,[17]第３表!$C$80:$C$136,0),9),[17]設定!$H48))</f>
        <v>19.7</v>
      </c>
      <c r="N34" s="55">
        <f>IF($D34="","",IF([17]設定!$H48="",INDEX([17]第３表!$F$80:$Q$136,MATCH([17]設定!$D48,[17]第３表!$C$80:$C$136,0),10),[17]設定!$H48))</f>
        <v>145.19999999999999</v>
      </c>
      <c r="O34" s="55">
        <f>IF($D34="","",IF([17]設定!$H48="",INDEX([17]第３表!$F$80:$Q$136,MATCH([17]設定!$D48,[17]第３表!$C$80:$C$136,0),11),[17]設定!$H48))</f>
        <v>141.4</v>
      </c>
      <c r="P34" s="55">
        <f>IF($D34="","",IF([17]設定!$H48="",INDEX([17]第３表!$F$80:$Q$136,MATCH([17]設定!$D48,[17]第３表!$C$80:$C$136,0),12),[17]設定!$H48))</f>
        <v>3.8</v>
      </c>
    </row>
    <row r="35" spans="2:17" s="8" customFormat="1" ht="17.25" customHeight="1" x14ac:dyDescent="0.45">
      <c r="B35" s="49" t="str">
        <f>+[18]第５表!B35</f>
        <v>E27</v>
      </c>
      <c r="C35" s="50"/>
      <c r="D35" s="65" t="str">
        <f>+[18]第５表!D35</f>
        <v>業務用機械器具</v>
      </c>
      <c r="E35" s="55">
        <f>IF($D35="","",IF([17]設定!$H49="",INDEX([17]第３表!$F$80:$Q$136,MATCH([17]設定!$D49,[17]第３表!$C$80:$C$136,0),1),[17]設定!$H49))</f>
        <v>18.899999999999999</v>
      </c>
      <c r="F35" s="55">
        <f>IF($D35="","",IF([17]設定!$H49="",INDEX([17]第３表!$F$80:$Q$136,MATCH([17]設定!$D49,[17]第３表!$C$80:$C$136,0),2),[17]設定!$H49))</f>
        <v>158.5</v>
      </c>
      <c r="G35" s="55">
        <f>IF($D35="","",IF([17]設定!$H49="",INDEX([17]第３表!$F$80:$Q$136,MATCH([17]設定!$D49,[17]第３表!$C$80:$C$136,0),3),[17]設定!$H49))</f>
        <v>149</v>
      </c>
      <c r="H35" s="55">
        <f>IF($D35="","",IF([17]設定!$H49="",INDEX([17]第３表!$F$80:$Q$136,MATCH([17]設定!$D49,[17]第３表!$C$80:$C$136,0),4),[17]設定!$H49))</f>
        <v>9.5</v>
      </c>
      <c r="I35" s="55">
        <f>IF($D35="","",IF([17]設定!$H49="",INDEX([17]第３表!$F$80:$Q$136,MATCH([17]設定!$D49,[17]第３表!$C$80:$C$136,0),5),[17]設定!$H49))</f>
        <v>19</v>
      </c>
      <c r="J35" s="55">
        <f>IF($D35="","",IF([17]設定!$H49="",INDEX([17]第３表!$F$80:$Q$136,MATCH([17]設定!$D49,[17]第３表!$C$80:$C$136,0),6),[17]設定!$H49))</f>
        <v>159.4</v>
      </c>
      <c r="K35" s="55">
        <f>IF($D35="","",IF([17]設定!$H49="",INDEX([17]第３表!$F$80:$Q$136,MATCH([17]設定!$D49,[17]第３表!$C$80:$C$136,0),7),[17]設定!$H49))</f>
        <v>148.4</v>
      </c>
      <c r="L35" s="55">
        <f>IF($D35="","",IF([17]設定!$H49="",INDEX([17]第３表!$F$80:$Q$136,MATCH([17]設定!$D49,[17]第３表!$C$80:$C$136,0),8),[17]設定!$H49))</f>
        <v>11</v>
      </c>
      <c r="M35" s="55">
        <f>IF($D35="","",IF([17]設定!$H49="",INDEX([17]第３表!$F$80:$Q$136,MATCH([17]設定!$D49,[17]第３表!$C$80:$C$136,0),9),[17]設定!$H49))</f>
        <v>18.8</v>
      </c>
      <c r="N35" s="55">
        <f>IF($D35="","",IF([17]設定!$H49="",INDEX([17]第３表!$F$80:$Q$136,MATCH([17]設定!$D49,[17]第３表!$C$80:$C$136,0),10),[17]設定!$H49))</f>
        <v>157.80000000000001</v>
      </c>
      <c r="O35" s="55">
        <f>IF($D35="","",IF([17]設定!$H49="",INDEX([17]第３表!$F$80:$Q$136,MATCH([17]設定!$D49,[17]第３表!$C$80:$C$136,0),11),[17]設定!$H49))</f>
        <v>149.69999999999999</v>
      </c>
      <c r="P35" s="55">
        <f>IF($D35="","",IF([17]設定!$H49="",INDEX([17]第３表!$F$80:$Q$136,MATCH([17]設定!$D49,[17]第３表!$C$80:$C$136,0),12),[17]設定!$H49))</f>
        <v>8.1</v>
      </c>
    </row>
    <row r="36" spans="2:17" s="8" customFormat="1" ht="17.25" customHeight="1" x14ac:dyDescent="0.45">
      <c r="B36" s="49" t="str">
        <f>+[18]第５表!B36</f>
        <v>E28</v>
      </c>
      <c r="C36" s="50"/>
      <c r="D36" s="65" t="str">
        <f>+[18]第５表!D36</f>
        <v>電子・デバイス</v>
      </c>
      <c r="E36" s="55">
        <f>IF($D36="","",IF([17]設定!$H50="",INDEX([17]第３表!$F$80:$Q$136,MATCH([17]設定!$D50,[17]第３表!$C$80:$C$136,0),1),[17]設定!$H50))</f>
        <v>17.899999999999999</v>
      </c>
      <c r="F36" s="55">
        <f>IF($D36="","",IF([17]設定!$H50="",INDEX([17]第３表!$F$80:$Q$136,MATCH([17]設定!$D50,[17]第３表!$C$80:$C$136,0),2),[17]設定!$H50))</f>
        <v>153.30000000000001</v>
      </c>
      <c r="G36" s="55">
        <f>IF($D36="","",IF([17]設定!$H50="",INDEX([17]第３表!$F$80:$Q$136,MATCH([17]設定!$D50,[17]第３表!$C$80:$C$136,0),3),[17]設定!$H50))</f>
        <v>139.9</v>
      </c>
      <c r="H36" s="55">
        <f>IF($D36="","",IF([17]設定!$H50="",INDEX([17]第３表!$F$80:$Q$136,MATCH([17]設定!$D50,[17]第３表!$C$80:$C$136,0),4),[17]設定!$H50))</f>
        <v>13.4</v>
      </c>
      <c r="I36" s="55">
        <f>IF($D36="","",IF([17]設定!$H50="",INDEX([17]第３表!$F$80:$Q$136,MATCH([17]設定!$D50,[17]第３表!$C$80:$C$136,0),5),[17]設定!$H50))</f>
        <v>18.100000000000001</v>
      </c>
      <c r="J36" s="55">
        <f>IF($D36="","",IF([17]設定!$H50="",INDEX([17]第３表!$F$80:$Q$136,MATCH([17]設定!$D50,[17]第３表!$C$80:$C$136,0),6),[17]設定!$H50))</f>
        <v>161.1</v>
      </c>
      <c r="K36" s="55">
        <f>IF($D36="","",IF([17]設定!$H50="",INDEX([17]第３表!$F$80:$Q$136,MATCH([17]設定!$D50,[17]第３表!$C$80:$C$136,0),7),[17]設定!$H50))</f>
        <v>144.30000000000001</v>
      </c>
      <c r="L36" s="55">
        <f>IF($D36="","",IF([17]設定!$H50="",INDEX([17]第３表!$F$80:$Q$136,MATCH([17]設定!$D50,[17]第３表!$C$80:$C$136,0),8),[17]設定!$H50))</f>
        <v>16.8</v>
      </c>
      <c r="M36" s="55">
        <f>IF($D36="","",IF([17]設定!$H50="",INDEX([17]第３表!$F$80:$Q$136,MATCH([17]設定!$D50,[17]第３表!$C$80:$C$136,0),9),[17]設定!$H50))</f>
        <v>17.5</v>
      </c>
      <c r="N36" s="55">
        <f>IF($D36="","",IF([17]設定!$H50="",INDEX([17]第３表!$F$80:$Q$136,MATCH([17]設定!$D50,[17]第３表!$C$80:$C$136,0),10),[17]設定!$H50))</f>
        <v>138.5</v>
      </c>
      <c r="O36" s="55">
        <f>IF($D36="","",IF([17]設定!$H50="",INDEX([17]第３表!$F$80:$Q$136,MATCH([17]設定!$D50,[17]第３表!$C$80:$C$136,0),11),[17]設定!$H50))</f>
        <v>131.6</v>
      </c>
      <c r="P36" s="55">
        <f>IF($D36="","",IF([17]設定!$H50="",INDEX([17]第３表!$F$80:$Q$136,MATCH([17]設定!$D50,[17]第３表!$C$80:$C$136,0),12),[17]設定!$H50))</f>
        <v>6.9</v>
      </c>
    </row>
    <row r="37" spans="2:17" s="8" customFormat="1" ht="17.25" customHeight="1" x14ac:dyDescent="0.45">
      <c r="B37" s="49" t="str">
        <f>+[18]第５表!B37</f>
        <v>E29</v>
      </c>
      <c r="C37" s="50"/>
      <c r="D37" s="65" t="str">
        <f>+[18]第５表!D37</f>
        <v>電気機械器具</v>
      </c>
      <c r="E37" s="55">
        <f>IF($D37="","",IF([17]設定!$H51="",INDEX([17]第３表!$F$80:$Q$136,MATCH([17]設定!$D51,[17]第３表!$C$80:$C$136,0),1),[17]設定!$H51))</f>
        <v>20.9</v>
      </c>
      <c r="F37" s="55">
        <f>IF($D37="","",IF([17]設定!$H51="",INDEX([17]第３表!$F$80:$Q$136,MATCH([17]設定!$D51,[17]第３表!$C$80:$C$136,0),2),[17]設定!$H51))</f>
        <v>171.9</v>
      </c>
      <c r="G37" s="55">
        <f>IF($D37="","",IF([17]設定!$H51="",INDEX([17]第３表!$F$80:$Q$136,MATCH([17]設定!$D51,[17]第３表!$C$80:$C$136,0),3),[17]設定!$H51))</f>
        <v>161.69999999999999</v>
      </c>
      <c r="H37" s="55">
        <f>IF($D37="","",IF([17]設定!$H51="",INDEX([17]第３表!$F$80:$Q$136,MATCH([17]設定!$D51,[17]第３表!$C$80:$C$136,0),4),[17]設定!$H51))</f>
        <v>10.199999999999999</v>
      </c>
      <c r="I37" s="55">
        <f>IF($D37="","",IF([17]設定!$H51="",INDEX([17]第３表!$F$80:$Q$136,MATCH([17]設定!$D51,[17]第３表!$C$80:$C$136,0),5),[17]設定!$H51))</f>
        <v>21.2</v>
      </c>
      <c r="J37" s="55">
        <f>IF($D37="","",IF([17]設定!$H51="",INDEX([17]第３表!$F$80:$Q$136,MATCH([17]設定!$D51,[17]第３表!$C$80:$C$136,0),6),[17]設定!$H51))</f>
        <v>177.2</v>
      </c>
      <c r="K37" s="55">
        <f>IF($D37="","",IF([17]設定!$H51="",INDEX([17]第３表!$F$80:$Q$136,MATCH([17]設定!$D51,[17]第３表!$C$80:$C$136,0),7),[17]設定!$H51))</f>
        <v>164.8</v>
      </c>
      <c r="L37" s="55">
        <f>IF($D37="","",IF([17]設定!$H51="",INDEX([17]第３表!$F$80:$Q$136,MATCH([17]設定!$D51,[17]第３表!$C$80:$C$136,0),8),[17]設定!$H51))</f>
        <v>12.4</v>
      </c>
      <c r="M37" s="55">
        <f>IF($D37="","",IF([17]設定!$H51="",INDEX([17]第３表!$F$80:$Q$136,MATCH([17]設定!$D51,[17]第３表!$C$80:$C$136,0),9),[17]設定!$H51))</f>
        <v>20.399999999999999</v>
      </c>
      <c r="N37" s="55">
        <f>IF($D37="","",IF([17]設定!$H51="",INDEX([17]第３表!$F$80:$Q$136,MATCH([17]設定!$D51,[17]第３表!$C$80:$C$136,0),10),[17]設定!$H51))</f>
        <v>158.5</v>
      </c>
      <c r="O37" s="55">
        <f>IF($D37="","",IF([17]設定!$H51="",INDEX([17]第３表!$F$80:$Q$136,MATCH([17]設定!$D51,[17]第３表!$C$80:$C$136,0),11),[17]設定!$H51))</f>
        <v>153.9</v>
      </c>
      <c r="P37" s="55">
        <f>IF($D37="","",IF([17]設定!$H51="",INDEX([17]第３表!$F$80:$Q$136,MATCH([17]設定!$D51,[17]第３表!$C$80:$C$136,0),12),[17]設定!$H51))</f>
        <v>4.5999999999999996</v>
      </c>
    </row>
    <row r="38" spans="2:17" s="8" customFormat="1" ht="17.25" customHeight="1" x14ac:dyDescent="0.45">
      <c r="B38" s="49" t="str">
        <f>+[18]第５表!B38</f>
        <v>E31</v>
      </c>
      <c r="C38" s="50"/>
      <c r="D38" s="65" t="str">
        <f>+[18]第５表!D38</f>
        <v>輸送用機械器具</v>
      </c>
      <c r="E38" s="55">
        <f>IF($D38="","",IF([17]設定!$H52="",INDEX([17]第３表!$F$80:$Q$136,MATCH([17]設定!$D52,[17]第３表!$C$80:$C$136,0),1),[17]設定!$H52))</f>
        <v>19.2</v>
      </c>
      <c r="F38" s="55">
        <f>IF($D38="","",IF([17]設定!$H52="",INDEX([17]第３表!$F$80:$Q$136,MATCH([17]設定!$D52,[17]第３表!$C$80:$C$136,0),2),[17]設定!$H52))</f>
        <v>180.3</v>
      </c>
      <c r="G38" s="55">
        <f>IF($D38="","",IF([17]設定!$H52="",INDEX([17]第３表!$F$80:$Q$136,MATCH([17]設定!$D52,[17]第３表!$C$80:$C$136,0),3),[17]設定!$H52))</f>
        <v>153.4</v>
      </c>
      <c r="H38" s="55">
        <f>IF($D38="","",IF([17]設定!$H52="",INDEX([17]第３表!$F$80:$Q$136,MATCH([17]設定!$D52,[17]第３表!$C$80:$C$136,0),4),[17]設定!$H52))</f>
        <v>26.9</v>
      </c>
      <c r="I38" s="55">
        <f>IF($D38="","",IF([17]設定!$H52="",INDEX([17]第３表!$F$80:$Q$136,MATCH([17]設定!$D52,[17]第３表!$C$80:$C$136,0),5),[17]設定!$H52))</f>
        <v>19.3</v>
      </c>
      <c r="J38" s="55">
        <f>IF($D38="","",IF([17]設定!$H52="",INDEX([17]第３表!$F$80:$Q$136,MATCH([17]設定!$D52,[17]第３表!$C$80:$C$136,0),6),[17]設定!$H52))</f>
        <v>185.3</v>
      </c>
      <c r="K38" s="55">
        <f>IF($D38="","",IF([17]設定!$H52="",INDEX([17]第３表!$F$80:$Q$136,MATCH([17]設定!$D52,[17]第３表!$C$80:$C$136,0),7),[17]設定!$H52))</f>
        <v>155.80000000000001</v>
      </c>
      <c r="L38" s="55">
        <f>IF($D38="","",IF([17]設定!$H52="",INDEX([17]第３表!$F$80:$Q$136,MATCH([17]設定!$D52,[17]第３表!$C$80:$C$136,0),8),[17]設定!$H52))</f>
        <v>29.5</v>
      </c>
      <c r="M38" s="55">
        <f>IF($D38="","",IF([17]設定!$H52="",INDEX([17]第３表!$F$80:$Q$136,MATCH([17]設定!$D52,[17]第３表!$C$80:$C$136,0),9),[17]設定!$H52))</f>
        <v>19.100000000000001</v>
      </c>
      <c r="N38" s="55">
        <f>IF($D38="","",IF([17]設定!$H52="",INDEX([17]第３表!$F$80:$Q$136,MATCH([17]設定!$D52,[17]第３表!$C$80:$C$136,0),10),[17]設定!$H52))</f>
        <v>161.80000000000001</v>
      </c>
      <c r="O38" s="55">
        <f>IF($D38="","",IF([17]設定!$H52="",INDEX([17]第３表!$F$80:$Q$136,MATCH([17]設定!$D52,[17]第３表!$C$80:$C$136,0),11),[17]設定!$H52))</f>
        <v>144.69999999999999</v>
      </c>
      <c r="P38" s="55">
        <f>IF($D38="","",IF([17]設定!$H52="",INDEX([17]第３表!$F$80:$Q$136,MATCH([17]設定!$D52,[17]第３表!$C$80:$C$136,0),12),[17]設定!$H52))</f>
        <v>17.100000000000001</v>
      </c>
    </row>
    <row r="39" spans="2:17" s="8" customFormat="1" ht="17.25" customHeight="1" x14ac:dyDescent="0.45">
      <c r="B39" s="66" t="str">
        <f>+[18]第５表!B39</f>
        <v>ES</v>
      </c>
      <c r="C39" s="67"/>
      <c r="D39" s="68" t="str">
        <f>+[18]第５表!D39</f>
        <v>はん用・生産用機械器具</v>
      </c>
      <c r="E39" s="69">
        <f>IF($D39="","",IF([17]設定!$H53="",INDEX([17]第３表!$F$80:$Q$136,MATCH([17]設定!$D53,[17]第３表!$C$80:$C$136,0),1),[17]設定!$H53))</f>
        <v>21</v>
      </c>
      <c r="F39" s="69">
        <f>IF($D39="","",IF([17]設定!$H53="",INDEX([17]第３表!$F$80:$Q$136,MATCH([17]設定!$D53,[17]第３表!$C$80:$C$136,0),2),[17]設定!$H53))</f>
        <v>185.2</v>
      </c>
      <c r="G39" s="69">
        <f>IF($D39="","",IF([17]設定!$H53="",INDEX([17]第３表!$F$80:$Q$136,MATCH([17]設定!$D53,[17]第３表!$C$80:$C$136,0),3),[17]設定!$H53))</f>
        <v>162.9</v>
      </c>
      <c r="H39" s="69">
        <f>IF($D39="","",IF([17]設定!$H53="",INDEX([17]第３表!$F$80:$Q$136,MATCH([17]設定!$D53,[17]第３表!$C$80:$C$136,0),4),[17]設定!$H53))</f>
        <v>22.3</v>
      </c>
      <c r="I39" s="69">
        <f>IF($D39="","",IF([17]設定!$H53="",INDEX([17]第３表!$F$80:$Q$136,MATCH([17]設定!$D53,[17]第３表!$C$80:$C$136,0),5),[17]設定!$H53))</f>
        <v>21.4</v>
      </c>
      <c r="J39" s="69">
        <f>IF($D39="","",IF([17]設定!$H53="",INDEX([17]第３表!$F$80:$Q$136,MATCH([17]設定!$D53,[17]第３表!$C$80:$C$136,0),6),[17]設定!$H53))</f>
        <v>191.2</v>
      </c>
      <c r="K39" s="69">
        <f>IF($D39="","",IF([17]設定!$H53="",INDEX([17]第３表!$F$80:$Q$136,MATCH([17]設定!$D53,[17]第３表!$C$80:$C$136,0),7),[17]設定!$H53))</f>
        <v>164.8</v>
      </c>
      <c r="L39" s="69">
        <f>IF($D39="","",IF([17]設定!$H53="",INDEX([17]第３表!$F$80:$Q$136,MATCH([17]設定!$D53,[17]第３表!$C$80:$C$136,0),8),[17]設定!$H53))</f>
        <v>26.4</v>
      </c>
      <c r="M39" s="69">
        <f>IF($D39="","",IF([17]設定!$H53="",INDEX([17]第３表!$F$80:$Q$136,MATCH([17]設定!$D53,[17]第３表!$C$80:$C$136,0),9),[17]設定!$H53))</f>
        <v>19.3</v>
      </c>
      <c r="N39" s="69">
        <f>IF($D39="","",IF([17]設定!$H53="",INDEX([17]第３表!$F$80:$Q$136,MATCH([17]設定!$D53,[17]第３表!$C$80:$C$136,0),10),[17]設定!$H53))</f>
        <v>161.69999999999999</v>
      </c>
      <c r="O39" s="69">
        <f>IF($D39="","",IF([17]設定!$H53="",INDEX([17]第３表!$F$80:$Q$136,MATCH([17]設定!$D53,[17]第３表!$C$80:$C$136,0),11),[17]設定!$H53))</f>
        <v>155.4</v>
      </c>
      <c r="P39" s="69">
        <f>IF($D39="","",IF([17]設定!$H53="",INDEX([17]第３表!$F$80:$Q$136,MATCH([17]設定!$D53,[17]第３表!$C$80:$C$136,0),12),[17]設定!$H53))</f>
        <v>6.3</v>
      </c>
    </row>
    <row r="40" spans="2:17" s="8" customFormat="1" ht="16.2" customHeight="1" x14ac:dyDescent="0.45">
      <c r="B40" s="70" t="str">
        <f>+[18]第５表!B40</f>
        <v>R91</v>
      </c>
      <c r="C40" s="71"/>
      <c r="D40" s="72" t="str">
        <f>+[18]第５表!D40</f>
        <v>職業紹介・労働者派遣業</v>
      </c>
      <c r="E40" s="73">
        <f>IF($D40="","",IF([17]設定!$H54="",INDEX([17]第３表!$F$80:$Q$136,MATCH([17]設定!$D54,[17]第３表!$C$80:$C$136,0),1),[17]設定!$H54))</f>
        <v>18.899999999999999</v>
      </c>
      <c r="F40" s="73">
        <f>IF($D40="","",IF([17]設定!$H54="",INDEX([17]第３表!$F$80:$Q$136,MATCH([17]設定!$D54,[17]第３表!$C$80:$C$136,0),2),[17]設定!$H54))</f>
        <v>153.9</v>
      </c>
      <c r="G40" s="73">
        <f>IF($D40="","",IF([17]設定!$H54="",INDEX([17]第３表!$F$80:$Q$136,MATCH([17]設定!$D54,[17]第３表!$C$80:$C$136,0),3),[17]設定!$H54))</f>
        <v>145.1</v>
      </c>
      <c r="H40" s="73">
        <f>IF($D40="","",IF([17]設定!$H54="",INDEX([17]第３表!$F$80:$Q$136,MATCH([17]設定!$D54,[17]第３表!$C$80:$C$136,0),4),[17]設定!$H54))</f>
        <v>8.8000000000000007</v>
      </c>
      <c r="I40" s="73">
        <f>IF($D40="","",IF([17]設定!$H54="",INDEX([17]第３表!$F$80:$Q$136,MATCH([17]設定!$D54,[17]第３表!$C$80:$C$136,0),5),[17]設定!$H54))</f>
        <v>18.899999999999999</v>
      </c>
      <c r="J40" s="73">
        <f>IF($D40="","",IF([17]設定!$H54="",INDEX([17]第３表!$F$80:$Q$136,MATCH([17]設定!$D54,[17]第３表!$C$80:$C$136,0),6),[17]設定!$H54))</f>
        <v>165.3</v>
      </c>
      <c r="K40" s="73">
        <f>IF($D40="","",IF([17]設定!$H54="",INDEX([17]第３表!$F$80:$Q$136,MATCH([17]設定!$D54,[17]第３表!$C$80:$C$136,0),7),[17]設定!$H54))</f>
        <v>151.6</v>
      </c>
      <c r="L40" s="73">
        <f>IF($D40="","",IF([17]設定!$H54="",INDEX([17]第３表!$F$80:$Q$136,MATCH([17]設定!$D54,[17]第３表!$C$80:$C$136,0),8),[17]設定!$H54))</f>
        <v>13.7</v>
      </c>
      <c r="M40" s="73">
        <f>IF($D40="","",IF([17]設定!$H54="",INDEX([17]第３表!$F$80:$Q$136,MATCH([17]設定!$D54,[17]第３表!$C$80:$C$136,0),9),[17]設定!$H54))</f>
        <v>18.899999999999999</v>
      </c>
      <c r="N40" s="73">
        <f>IF($D40="","",IF([17]設定!$H54="",INDEX([17]第３表!$F$80:$Q$136,MATCH([17]設定!$D54,[17]第３表!$C$80:$C$136,0),10),[17]設定!$H54))</f>
        <v>145.1</v>
      </c>
      <c r="O40" s="73">
        <f>IF($D40="","",IF([17]設定!$H54="",INDEX([17]第３表!$F$80:$Q$136,MATCH([17]設定!$D54,[17]第３表!$C$80:$C$136,0),11),[17]設定!$H54))</f>
        <v>140.1</v>
      </c>
      <c r="P40" s="73">
        <f>IF($D40="","",IF([17]設定!$H54="",INDEX([17]第３表!$F$80:$Q$136,MATCH([17]設定!$D54,[17]第３表!$C$80:$C$136,0),12),[17]設定!$H54))</f>
        <v>5</v>
      </c>
    </row>
    <row r="41" spans="2:17" s="8" customFormat="1" ht="16.2" customHeight="1" x14ac:dyDescent="0.45">
      <c r="B41" s="74"/>
      <c r="C41" s="75"/>
      <c r="D41" s="7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2"/>
    </row>
    <row r="42" spans="2:17" s="8" customFormat="1" ht="15" customHeight="1" x14ac:dyDescent="0.45">
      <c r="B42" s="9" t="s">
        <v>14</v>
      </c>
      <c r="C42" s="1"/>
      <c r="D42" s="77"/>
      <c r="E42" s="1"/>
      <c r="F42" s="77"/>
      <c r="G42" s="77"/>
      <c r="H42" s="77"/>
      <c r="I42" s="11"/>
      <c r="J42" s="11"/>
      <c r="K42" s="11"/>
      <c r="L42" s="11"/>
      <c r="M42" s="11"/>
      <c r="N42" s="10"/>
      <c r="O42" s="11"/>
      <c r="P42" s="11" t="s">
        <v>2</v>
      </c>
      <c r="Q42" s="78"/>
    </row>
    <row r="43" spans="2:17" s="8" customFormat="1" ht="15" customHeight="1" x14ac:dyDescent="0.45">
      <c r="B43" s="13"/>
      <c r="C43" s="14"/>
      <c r="D43" s="15"/>
      <c r="E43" s="16" t="s">
        <v>3</v>
      </c>
      <c r="F43" s="17"/>
      <c r="G43" s="17"/>
      <c r="H43" s="18"/>
      <c r="I43" s="19" t="s">
        <v>4</v>
      </c>
      <c r="J43" s="20"/>
      <c r="K43" s="20"/>
      <c r="L43" s="20"/>
      <c r="M43" s="19" t="s">
        <v>15</v>
      </c>
      <c r="N43" s="20"/>
      <c r="O43" s="20"/>
      <c r="P43" s="21"/>
      <c r="Q43" s="12"/>
    </row>
    <row r="44" spans="2:17" s="8" customFormat="1" ht="15" customHeight="1" x14ac:dyDescent="0.45">
      <c r="B44" s="23"/>
      <c r="C44" s="1"/>
      <c r="D44" s="24" t="s">
        <v>6</v>
      </c>
      <c r="E44" s="25" t="s">
        <v>7</v>
      </c>
      <c r="F44" s="26" t="s">
        <v>8</v>
      </c>
      <c r="G44" s="27" t="s">
        <v>9</v>
      </c>
      <c r="H44" s="27" t="s">
        <v>10</v>
      </c>
      <c r="I44" s="28" t="s">
        <v>7</v>
      </c>
      <c r="J44" s="29" t="s">
        <v>8</v>
      </c>
      <c r="K44" s="30" t="s">
        <v>9</v>
      </c>
      <c r="L44" s="31" t="s">
        <v>10</v>
      </c>
      <c r="M44" s="32" t="s">
        <v>7</v>
      </c>
      <c r="N44" s="29" t="s">
        <v>8</v>
      </c>
      <c r="O44" s="30" t="s">
        <v>9</v>
      </c>
      <c r="P44" s="33" t="s">
        <v>10</v>
      </c>
      <c r="Q44" s="12"/>
    </row>
    <row r="45" spans="2:17" s="8" customFormat="1" ht="15" customHeight="1" x14ac:dyDescent="0.45">
      <c r="B45" s="23"/>
      <c r="C45" s="1"/>
      <c r="D45" s="24"/>
      <c r="E45" s="34"/>
      <c r="F45" s="35" t="s">
        <v>11</v>
      </c>
      <c r="G45" s="27" t="s">
        <v>11</v>
      </c>
      <c r="H45" s="27" t="s">
        <v>11</v>
      </c>
      <c r="I45" s="27"/>
      <c r="J45" s="36" t="s">
        <v>11</v>
      </c>
      <c r="K45" s="27" t="s">
        <v>11</v>
      </c>
      <c r="L45" s="37" t="s">
        <v>11</v>
      </c>
      <c r="M45" s="38"/>
      <c r="N45" s="36" t="s">
        <v>11</v>
      </c>
      <c r="O45" s="27" t="s">
        <v>11</v>
      </c>
      <c r="P45" s="39" t="s">
        <v>11</v>
      </c>
      <c r="Q45" s="12"/>
    </row>
    <row r="46" spans="2:17" s="8" customFormat="1" ht="15" customHeight="1" x14ac:dyDescent="0.45">
      <c r="B46" s="40"/>
      <c r="C46" s="41"/>
      <c r="D46" s="42"/>
      <c r="E46" s="34" t="s">
        <v>12</v>
      </c>
      <c r="F46" s="35" t="s">
        <v>13</v>
      </c>
      <c r="G46" s="27" t="s">
        <v>13</v>
      </c>
      <c r="H46" s="27" t="s">
        <v>13</v>
      </c>
      <c r="I46" s="43" t="s">
        <v>12</v>
      </c>
      <c r="J46" s="44" t="s">
        <v>13</v>
      </c>
      <c r="K46" s="27" t="s">
        <v>13</v>
      </c>
      <c r="L46" s="37" t="s">
        <v>13</v>
      </c>
      <c r="M46" s="38" t="s">
        <v>12</v>
      </c>
      <c r="N46" s="44" t="s">
        <v>13</v>
      </c>
      <c r="O46" s="27" t="s">
        <v>13</v>
      </c>
      <c r="P46" s="39" t="s">
        <v>13</v>
      </c>
      <c r="Q46" s="12"/>
    </row>
    <row r="47" spans="2:17" s="8" customFormat="1" ht="17.25" customHeight="1" x14ac:dyDescent="0.45">
      <c r="B47" s="45" t="str">
        <f t="shared" ref="B47:B78" si="0">+B9</f>
        <v>TL</v>
      </c>
      <c r="C47" s="46"/>
      <c r="D47" s="47" t="str">
        <f t="shared" ref="D47:D78" si="1">+D9</f>
        <v>調査産業計</v>
      </c>
      <c r="E47" s="48">
        <f>IF($D47="","",IF([17]設定!$I23="",INDEX([17]第３表!$F$10:$Q$66,MATCH([17]設定!$D23,[17]第３表!$C$10:$C$66,0),1),[17]設定!$I23))</f>
        <v>18.7</v>
      </c>
      <c r="F47" s="48">
        <f>IF($D47="","",IF([17]設定!$I23="",INDEX([17]第３表!$F$10:$Q$66,MATCH([17]設定!$D23,[17]第３表!$C$10:$C$66,0),2),[17]設定!$I23))</f>
        <v>145.30000000000001</v>
      </c>
      <c r="G47" s="48">
        <f>IF($D47="","",IF([17]設定!$I23="",INDEX([17]第３表!$F$10:$Q$66,MATCH([17]設定!$D23,[17]第３表!$C$10:$C$66,0),3),[17]設定!$I23))</f>
        <v>134.80000000000001</v>
      </c>
      <c r="H47" s="48">
        <f>IF($D47="","",IF([17]設定!$I23="",INDEX([17]第３表!$F$10:$Q$66,MATCH([17]設定!$D23,[17]第３表!$C$10:$C$66,0),4),[17]設定!$I23))</f>
        <v>10.5</v>
      </c>
      <c r="I47" s="48">
        <f>IF($D47="","",IF([17]設定!$I23="",INDEX([17]第３表!$F$10:$Q$66,MATCH([17]設定!$D23,[17]第３表!$C$10:$C$66,0),5),[17]設定!$I23))</f>
        <v>19.3</v>
      </c>
      <c r="J47" s="48">
        <f>IF($D47="","",IF([17]設定!$I23="",INDEX([17]第３表!$F$10:$Q$66,MATCH([17]設定!$D23,[17]第３表!$C$10:$C$66,0),6),[17]設定!$I23))</f>
        <v>159.1</v>
      </c>
      <c r="K47" s="48">
        <f>IF($D47="","",IF([17]設定!$I23="",INDEX([17]第３表!$F$10:$Q$66,MATCH([17]設定!$D23,[17]第３表!$C$10:$C$66,0),7),[17]設定!$I23))</f>
        <v>144.19999999999999</v>
      </c>
      <c r="L47" s="48">
        <f>IF($D47="","",IF([17]設定!$I23="",INDEX([17]第３表!$F$10:$Q$66,MATCH([17]設定!$D23,[17]第３表!$C$10:$C$66,0),8),[17]設定!$I23))</f>
        <v>14.9</v>
      </c>
      <c r="M47" s="48">
        <f>IF($D47="","",IF([17]設定!$I23="",INDEX([17]第３表!$F$10:$Q$66,MATCH([17]設定!$D23,[17]第３表!$C$10:$C$66,0),9),[17]設定!$I23))</f>
        <v>18.2</v>
      </c>
      <c r="N47" s="48">
        <f>IF($D47="","",IF([17]設定!$I23="",INDEX([17]第３表!$F$10:$Q$66,MATCH([17]設定!$D23,[17]第３表!$C$10:$C$66,0),10),[17]設定!$I23))</f>
        <v>131.9</v>
      </c>
      <c r="O47" s="48">
        <f>IF($D47="","",IF([17]設定!$I23="",INDEX([17]第３表!$F$10:$Q$66,MATCH([17]設定!$D23,[17]第３表!$C$10:$C$66,0),11),[17]設定!$I23))</f>
        <v>125.7</v>
      </c>
      <c r="P47" s="48">
        <f>IF($D47="","",IF([17]設定!$I23="",INDEX([17]第３表!$F$10:$Q$66,MATCH([17]設定!$D23,[17]第３表!$C$10:$C$66,0),12),[17]設定!$I23))</f>
        <v>6.2</v>
      </c>
      <c r="Q47" s="12"/>
    </row>
    <row r="48" spans="2:17" s="8" customFormat="1" ht="17.25" customHeight="1" x14ac:dyDescent="0.45">
      <c r="B48" s="49" t="str">
        <f t="shared" si="0"/>
        <v>D</v>
      </c>
      <c r="C48" s="50"/>
      <c r="D48" s="51" t="str">
        <f t="shared" si="1"/>
        <v>建設業</v>
      </c>
      <c r="E48" s="52">
        <f>IF($D48="","",IF([17]設定!$I24="",INDEX([17]第３表!$F$10:$Q$66,MATCH([17]設定!$D24,[17]第３表!$C$10:$C$66,0),1),[17]設定!$I24))</f>
        <v>21.1</v>
      </c>
      <c r="F48" s="52">
        <f>IF($D48="","",IF([17]設定!$I24="",INDEX([17]第３表!$F$10:$Q$66,MATCH([17]設定!$D24,[17]第３表!$C$10:$C$66,0),2),[17]設定!$I24))</f>
        <v>167.6</v>
      </c>
      <c r="G48" s="52">
        <f>IF($D48="","",IF([17]設定!$I24="",INDEX([17]第３表!$F$10:$Q$66,MATCH([17]設定!$D24,[17]第３表!$C$10:$C$66,0),3),[17]設定!$I24))</f>
        <v>158.6</v>
      </c>
      <c r="H48" s="53">
        <f>IF($D48="","",IF([17]設定!$I24="",INDEX([17]第３表!$F$10:$Q$66,MATCH([17]設定!$D24,[17]第３表!$C$10:$C$66,0),4),[17]設定!$I24))</f>
        <v>9</v>
      </c>
      <c r="I48" s="54">
        <f>IF($D48="","",IF([17]設定!$I24="",INDEX([17]第３表!$F$10:$Q$66,MATCH([17]設定!$D24,[17]第３表!$C$10:$C$66,0),5),[17]設定!$I24))</f>
        <v>21</v>
      </c>
      <c r="J48" s="54">
        <f>IF($D48="","",IF([17]設定!$I24="",INDEX([17]第３表!$F$10:$Q$66,MATCH([17]設定!$D24,[17]第３表!$C$10:$C$66,0),6),[17]設定!$I24))</f>
        <v>168.1</v>
      </c>
      <c r="K48" s="54">
        <f>IF($D48="","",IF([17]設定!$I24="",INDEX([17]第３表!$F$10:$Q$66,MATCH([17]設定!$D24,[17]第３表!$C$10:$C$66,0),7),[17]設定!$I24))</f>
        <v>158.4</v>
      </c>
      <c r="L48" s="55">
        <f>IF($D48="","",IF([17]設定!$I24="",INDEX([17]第３表!$F$10:$Q$66,MATCH([17]設定!$D24,[17]第３表!$C$10:$C$66,0),8),[17]設定!$I24))</f>
        <v>9.6999999999999993</v>
      </c>
      <c r="M48" s="56">
        <f>IF($D48="","",IF([17]設定!$I24="",INDEX([17]第３表!$F$10:$Q$66,MATCH([17]設定!$D24,[17]第３表!$C$10:$C$66,0),9),[17]設定!$I24))</f>
        <v>21.5</v>
      </c>
      <c r="N48" s="56">
        <f>IF($D48="","",IF([17]設定!$I24="",INDEX([17]第３表!$F$10:$Q$66,MATCH([17]設定!$D24,[17]第３表!$C$10:$C$66,0),10),[17]設定!$I24))</f>
        <v>165.7</v>
      </c>
      <c r="O48" s="56">
        <f>IF($D48="","",IF([17]設定!$I24="",INDEX([17]第３表!$F$10:$Q$66,MATCH([17]設定!$D24,[17]第３表!$C$10:$C$66,0),11),[17]設定!$I24))</f>
        <v>159.30000000000001</v>
      </c>
      <c r="P48" s="57">
        <f>IF($D48="","",IF([17]設定!$I24="",INDEX([17]第３表!$F$10:$Q$66,MATCH([17]設定!$D24,[17]第３表!$C$10:$C$66,0),12),[17]設定!$I24))</f>
        <v>6.4</v>
      </c>
      <c r="Q48" s="12"/>
    </row>
    <row r="49" spans="2:17" s="8" customFormat="1" ht="17.25" customHeight="1" x14ac:dyDescent="0.45">
      <c r="B49" s="49" t="str">
        <f t="shared" si="0"/>
        <v>E</v>
      </c>
      <c r="C49" s="50"/>
      <c r="D49" s="51" t="str">
        <f t="shared" si="1"/>
        <v>製造業</v>
      </c>
      <c r="E49" s="52">
        <f>IF($D49="","",IF([17]設定!$I25="",INDEX([17]第３表!$F$10:$Q$66,MATCH([17]設定!$D25,[17]第３表!$C$10:$C$66,0),1),[17]設定!$I25))</f>
        <v>19.7</v>
      </c>
      <c r="F49" s="52">
        <f>IF($D49="","",IF([17]設定!$I25="",INDEX([17]第３表!$F$10:$Q$66,MATCH([17]設定!$D25,[17]第３表!$C$10:$C$66,0),2),[17]設定!$I25))</f>
        <v>162.4</v>
      </c>
      <c r="G49" s="52">
        <f>IF($D49="","",IF([17]設定!$I25="",INDEX([17]第３表!$F$10:$Q$66,MATCH([17]設定!$D25,[17]第３表!$C$10:$C$66,0),3),[17]設定!$I25))</f>
        <v>149.5</v>
      </c>
      <c r="H49" s="53">
        <f>IF($D49="","",IF([17]設定!$I25="",INDEX([17]第３表!$F$10:$Q$66,MATCH([17]設定!$D25,[17]第３表!$C$10:$C$66,0),4),[17]設定!$I25))</f>
        <v>12.9</v>
      </c>
      <c r="I49" s="54">
        <f>IF($D49="","",IF([17]設定!$I25="",INDEX([17]第３表!$F$10:$Q$66,MATCH([17]設定!$D25,[17]第３表!$C$10:$C$66,0),5),[17]設定!$I25))</f>
        <v>20</v>
      </c>
      <c r="J49" s="54">
        <f>IF($D49="","",IF([17]設定!$I25="",INDEX([17]第３表!$F$10:$Q$66,MATCH([17]設定!$D25,[17]第３表!$C$10:$C$66,0),6),[17]設定!$I25))</f>
        <v>169.9</v>
      </c>
      <c r="K49" s="54">
        <f>IF($D49="","",IF([17]設定!$I25="",INDEX([17]第３表!$F$10:$Q$66,MATCH([17]設定!$D25,[17]第３表!$C$10:$C$66,0),7),[17]設定!$I25))</f>
        <v>153.69999999999999</v>
      </c>
      <c r="L49" s="55">
        <f>IF($D49="","",IF([17]設定!$I25="",INDEX([17]第３表!$F$10:$Q$66,MATCH([17]設定!$D25,[17]第３表!$C$10:$C$66,0),8),[17]設定!$I25))</f>
        <v>16.2</v>
      </c>
      <c r="M49" s="56">
        <f>IF($D49="","",IF([17]設定!$I25="",INDEX([17]第３表!$F$10:$Q$66,MATCH([17]設定!$D25,[17]第３表!$C$10:$C$66,0),9),[17]設定!$I25))</f>
        <v>19.3</v>
      </c>
      <c r="N49" s="56">
        <f>IF($D49="","",IF([17]設定!$I25="",INDEX([17]第３表!$F$10:$Q$66,MATCH([17]設定!$D25,[17]第３表!$C$10:$C$66,0),10),[17]設定!$I25))</f>
        <v>150</v>
      </c>
      <c r="O49" s="56">
        <f>IF($D49="","",IF([17]設定!$I25="",INDEX([17]第３表!$F$10:$Q$66,MATCH([17]設定!$D25,[17]第３表!$C$10:$C$66,0),11),[17]設定!$I25))</f>
        <v>142.5</v>
      </c>
      <c r="P49" s="57">
        <f>IF($D49="","",IF([17]設定!$I25="",INDEX([17]第３表!$F$10:$Q$66,MATCH([17]設定!$D25,[17]第３表!$C$10:$C$66,0),12),[17]設定!$I25))</f>
        <v>7.5</v>
      </c>
      <c r="Q49" s="12"/>
    </row>
    <row r="50" spans="2:17" s="8" customFormat="1" ht="17.25" customHeight="1" x14ac:dyDescent="0.45">
      <c r="B50" s="49" t="str">
        <f t="shared" si="0"/>
        <v>F</v>
      </c>
      <c r="C50" s="50"/>
      <c r="D50" s="58" t="str">
        <f t="shared" si="1"/>
        <v>電気・ガス・熱供給・水道業</v>
      </c>
      <c r="E50" s="52">
        <f>IF($D50="","",IF([17]設定!$I26="",INDEX([17]第３表!$F$10:$Q$66,MATCH([17]設定!$D26,[17]第３表!$C$10:$C$66,0),1),[17]設定!$I26))</f>
        <v>18.3</v>
      </c>
      <c r="F50" s="52">
        <f>IF($D50="","",IF([17]設定!$I26="",INDEX([17]第３表!$F$10:$Q$66,MATCH([17]設定!$D26,[17]第３表!$C$10:$C$66,0),2),[17]設定!$I26))</f>
        <v>151.4</v>
      </c>
      <c r="G50" s="52">
        <f>IF($D50="","",IF([17]設定!$I26="",INDEX([17]第３表!$F$10:$Q$66,MATCH([17]設定!$D26,[17]第３表!$C$10:$C$66,0),3),[17]設定!$I26))</f>
        <v>134.19999999999999</v>
      </c>
      <c r="H50" s="53">
        <f>IF($D50="","",IF([17]設定!$I26="",INDEX([17]第３表!$F$10:$Q$66,MATCH([17]設定!$D26,[17]第３表!$C$10:$C$66,0),4),[17]設定!$I26))</f>
        <v>17.2</v>
      </c>
      <c r="I50" s="54">
        <f>IF($D50="","",IF([17]設定!$I26="",INDEX([17]第３表!$F$10:$Q$66,MATCH([17]設定!$D26,[17]第３表!$C$10:$C$66,0),5),[17]設定!$I26))</f>
        <v>18.3</v>
      </c>
      <c r="J50" s="54">
        <f>IF($D50="","",IF([17]設定!$I26="",INDEX([17]第３表!$F$10:$Q$66,MATCH([17]設定!$D26,[17]第３表!$C$10:$C$66,0),6),[17]設定!$I26))</f>
        <v>155.30000000000001</v>
      </c>
      <c r="K50" s="54">
        <f>IF($D50="","",IF([17]設定!$I26="",INDEX([17]第３表!$F$10:$Q$66,MATCH([17]設定!$D26,[17]第３表!$C$10:$C$66,0),7),[17]設定!$I26))</f>
        <v>136</v>
      </c>
      <c r="L50" s="55">
        <f>IF($D50="","",IF([17]設定!$I26="",INDEX([17]第３表!$F$10:$Q$66,MATCH([17]設定!$D26,[17]第３表!$C$10:$C$66,0),8),[17]設定!$I26))</f>
        <v>19.3</v>
      </c>
      <c r="M50" s="56">
        <f>IF($D50="","",IF([17]設定!$I26="",INDEX([17]第３表!$F$10:$Q$66,MATCH([17]設定!$D26,[17]第３表!$C$10:$C$66,0),9),[17]設定!$I26))</f>
        <v>18</v>
      </c>
      <c r="N50" s="56">
        <f>IF($D50="","",IF([17]設定!$I26="",INDEX([17]第３表!$F$10:$Q$66,MATCH([17]設定!$D26,[17]第３表!$C$10:$C$66,0),10),[17]設定!$I26))</f>
        <v>127.7</v>
      </c>
      <c r="O50" s="56">
        <f>IF($D50="","",IF([17]設定!$I26="",INDEX([17]第３表!$F$10:$Q$66,MATCH([17]設定!$D26,[17]第３表!$C$10:$C$66,0),11),[17]設定!$I26))</f>
        <v>123.1</v>
      </c>
      <c r="P50" s="57">
        <f>IF($D50="","",IF([17]設定!$I26="",INDEX([17]第３表!$F$10:$Q$66,MATCH([17]設定!$D26,[17]第３表!$C$10:$C$66,0),12),[17]設定!$I26))</f>
        <v>4.5999999999999996</v>
      </c>
      <c r="Q50" s="12"/>
    </row>
    <row r="51" spans="2:17" s="8" customFormat="1" ht="17.25" customHeight="1" x14ac:dyDescent="0.45">
      <c r="B51" s="49" t="str">
        <f t="shared" si="0"/>
        <v>G</v>
      </c>
      <c r="C51" s="50"/>
      <c r="D51" s="51" t="str">
        <f t="shared" si="1"/>
        <v>情報通信業</v>
      </c>
      <c r="E51" s="52">
        <f>IF($D51="","",IF([17]設定!$I27="",INDEX([17]第３表!$F$10:$Q$66,MATCH([17]設定!$D27,[17]第３表!$C$10:$C$66,0),1),[17]設定!$I27))</f>
        <v>18.899999999999999</v>
      </c>
      <c r="F51" s="52">
        <f>IF($D51="","",IF([17]設定!$I27="",INDEX([17]第３表!$F$10:$Q$66,MATCH([17]設定!$D27,[17]第３表!$C$10:$C$66,0),2),[17]設定!$I27))</f>
        <v>153.9</v>
      </c>
      <c r="G51" s="52">
        <f>IF($D51="","",IF([17]設定!$I27="",INDEX([17]第３表!$F$10:$Q$66,MATCH([17]設定!$D27,[17]第３表!$C$10:$C$66,0),3),[17]設定!$I27))</f>
        <v>140.9</v>
      </c>
      <c r="H51" s="53">
        <f>IF($D51="","",IF([17]設定!$I27="",INDEX([17]第３表!$F$10:$Q$66,MATCH([17]設定!$D27,[17]第３表!$C$10:$C$66,0),4),[17]設定!$I27))</f>
        <v>13</v>
      </c>
      <c r="I51" s="54">
        <f>IF($D51="","",IF([17]設定!$I27="",INDEX([17]第３表!$F$10:$Q$66,MATCH([17]設定!$D27,[17]第３表!$C$10:$C$66,0),5),[17]設定!$I27))</f>
        <v>19</v>
      </c>
      <c r="J51" s="54">
        <f>IF($D51="","",IF([17]設定!$I27="",INDEX([17]第３表!$F$10:$Q$66,MATCH([17]設定!$D27,[17]第３表!$C$10:$C$66,0),6),[17]設定!$I27))</f>
        <v>155.5</v>
      </c>
      <c r="K51" s="54">
        <f>IF($D51="","",IF([17]設定!$I27="",INDEX([17]第３表!$F$10:$Q$66,MATCH([17]設定!$D27,[17]第３表!$C$10:$C$66,0),7),[17]設定!$I27))</f>
        <v>142.5</v>
      </c>
      <c r="L51" s="55">
        <f>IF($D51="","",IF([17]設定!$I27="",INDEX([17]第３表!$F$10:$Q$66,MATCH([17]設定!$D27,[17]第３表!$C$10:$C$66,0),8),[17]設定!$I27))</f>
        <v>13</v>
      </c>
      <c r="M51" s="56">
        <f>IF($D51="","",IF([17]設定!$I27="",INDEX([17]第３表!$F$10:$Q$66,MATCH([17]設定!$D27,[17]第３表!$C$10:$C$66,0),9),[17]設定!$I27))</f>
        <v>18.600000000000001</v>
      </c>
      <c r="N51" s="56">
        <f>IF($D51="","",IF([17]設定!$I27="",INDEX([17]第３表!$F$10:$Q$66,MATCH([17]設定!$D27,[17]第３表!$C$10:$C$66,0),10),[17]設定!$I27))</f>
        <v>150.4</v>
      </c>
      <c r="O51" s="56">
        <f>IF($D51="","",IF([17]設定!$I27="",INDEX([17]第３表!$F$10:$Q$66,MATCH([17]設定!$D27,[17]第３表!$C$10:$C$66,0),11),[17]設定!$I27))</f>
        <v>137.5</v>
      </c>
      <c r="P51" s="57">
        <f>IF($D51="","",IF([17]設定!$I27="",INDEX([17]第３表!$F$10:$Q$66,MATCH([17]設定!$D27,[17]第３表!$C$10:$C$66,0),12),[17]設定!$I27))</f>
        <v>12.9</v>
      </c>
      <c r="Q51" s="12"/>
    </row>
    <row r="52" spans="2:17" s="8" customFormat="1" ht="17.25" customHeight="1" x14ac:dyDescent="0.45">
      <c r="B52" s="49" t="str">
        <f t="shared" si="0"/>
        <v>H</v>
      </c>
      <c r="C52" s="50"/>
      <c r="D52" s="51" t="str">
        <f t="shared" si="1"/>
        <v>運輸業，郵便業</v>
      </c>
      <c r="E52" s="52">
        <f>IF($D52="","",IF([17]設定!$I28="",INDEX([17]第３表!$F$10:$Q$66,MATCH([17]設定!$D28,[17]第３表!$C$10:$C$66,0),1),[17]設定!$I28))</f>
        <v>20.100000000000001</v>
      </c>
      <c r="F52" s="52">
        <f>IF($D52="","",IF([17]設定!$I28="",INDEX([17]第３表!$F$10:$Q$66,MATCH([17]設定!$D28,[17]第３表!$C$10:$C$66,0),2),[17]設定!$I28))</f>
        <v>171.2</v>
      </c>
      <c r="G52" s="52">
        <f>IF($D52="","",IF([17]設定!$I28="",INDEX([17]第３表!$F$10:$Q$66,MATCH([17]設定!$D28,[17]第３表!$C$10:$C$66,0),3),[17]設定!$I28))</f>
        <v>148.1</v>
      </c>
      <c r="H52" s="53">
        <f>IF($D52="","",IF([17]設定!$I28="",INDEX([17]第３表!$F$10:$Q$66,MATCH([17]設定!$D28,[17]第３表!$C$10:$C$66,0),4),[17]設定!$I28))</f>
        <v>23.1</v>
      </c>
      <c r="I52" s="54">
        <f>IF($D52="","",IF([17]設定!$I28="",INDEX([17]第３表!$F$10:$Q$66,MATCH([17]設定!$D28,[17]第３表!$C$10:$C$66,0),5),[17]設定!$I28))</f>
        <v>20.3</v>
      </c>
      <c r="J52" s="54">
        <f>IF($D52="","",IF([17]設定!$I28="",INDEX([17]第３表!$F$10:$Q$66,MATCH([17]設定!$D28,[17]第３表!$C$10:$C$66,0),6),[17]設定!$I28))</f>
        <v>176.2</v>
      </c>
      <c r="K52" s="54">
        <f>IF($D52="","",IF([17]設定!$I28="",INDEX([17]第３表!$F$10:$Q$66,MATCH([17]設定!$D28,[17]第３表!$C$10:$C$66,0),7),[17]設定!$I28))</f>
        <v>150.1</v>
      </c>
      <c r="L52" s="55">
        <f>IF($D52="","",IF([17]設定!$I28="",INDEX([17]第３表!$F$10:$Q$66,MATCH([17]設定!$D28,[17]第３表!$C$10:$C$66,0),8),[17]設定!$I28))</f>
        <v>26.1</v>
      </c>
      <c r="M52" s="56">
        <f>IF($D52="","",IF([17]設定!$I28="",INDEX([17]第３表!$F$10:$Q$66,MATCH([17]設定!$D28,[17]第３表!$C$10:$C$66,0),9),[17]設定!$I28))</f>
        <v>19.2</v>
      </c>
      <c r="N52" s="56">
        <f>IF($D52="","",IF([17]設定!$I28="",INDEX([17]第３表!$F$10:$Q$66,MATCH([17]設定!$D28,[17]第３表!$C$10:$C$66,0),10),[17]設定!$I28))</f>
        <v>145.1</v>
      </c>
      <c r="O52" s="56">
        <f>IF($D52="","",IF([17]設定!$I28="",INDEX([17]第３表!$F$10:$Q$66,MATCH([17]設定!$D28,[17]第３表!$C$10:$C$66,0),11),[17]設定!$I28))</f>
        <v>137.6</v>
      </c>
      <c r="P52" s="57">
        <f>IF($D52="","",IF([17]設定!$I28="",INDEX([17]第３表!$F$10:$Q$66,MATCH([17]設定!$D28,[17]第３表!$C$10:$C$66,0),12),[17]設定!$I28))</f>
        <v>7.5</v>
      </c>
      <c r="Q52" s="12"/>
    </row>
    <row r="53" spans="2:17" s="8" customFormat="1" ht="17.25" customHeight="1" x14ac:dyDescent="0.45">
      <c r="B53" s="49" t="str">
        <f t="shared" si="0"/>
        <v>I</v>
      </c>
      <c r="C53" s="50"/>
      <c r="D53" s="51" t="str">
        <f t="shared" si="1"/>
        <v>卸売業，小売業</v>
      </c>
      <c r="E53" s="52">
        <f>IF($D53="","",IF([17]設定!$I29="",INDEX([17]第３表!$F$10:$Q$66,MATCH([17]設定!$D29,[17]第３表!$C$10:$C$66,0),1),[17]設定!$I29))</f>
        <v>17.899999999999999</v>
      </c>
      <c r="F53" s="52">
        <f>IF($D53="","",IF([17]設定!$I29="",INDEX([17]第３表!$F$10:$Q$66,MATCH([17]設定!$D29,[17]第３表!$C$10:$C$66,0),2),[17]設定!$I29))</f>
        <v>124.7</v>
      </c>
      <c r="G53" s="52">
        <f>IF($D53="","",IF([17]設定!$I29="",INDEX([17]第３表!$F$10:$Q$66,MATCH([17]設定!$D29,[17]第３表!$C$10:$C$66,0),3),[17]設定!$I29))</f>
        <v>117.8</v>
      </c>
      <c r="H53" s="53">
        <f>IF($D53="","",IF([17]設定!$I29="",INDEX([17]第３表!$F$10:$Q$66,MATCH([17]設定!$D29,[17]第３表!$C$10:$C$66,0),4),[17]設定!$I29))</f>
        <v>6.9</v>
      </c>
      <c r="I53" s="54">
        <f>IF($D53="","",IF([17]設定!$I29="",INDEX([17]第３表!$F$10:$Q$66,MATCH([17]設定!$D29,[17]第３表!$C$10:$C$66,0),5),[17]設定!$I29))</f>
        <v>18.7</v>
      </c>
      <c r="J53" s="54">
        <f>IF($D53="","",IF([17]設定!$I29="",INDEX([17]第３表!$F$10:$Q$66,MATCH([17]設定!$D29,[17]第３表!$C$10:$C$66,0),6),[17]設定!$I29))</f>
        <v>146.19999999999999</v>
      </c>
      <c r="K53" s="54">
        <f>IF($D53="","",IF([17]設定!$I29="",INDEX([17]第３表!$F$10:$Q$66,MATCH([17]設定!$D29,[17]第３表!$C$10:$C$66,0),7),[17]設定!$I29))</f>
        <v>135.1</v>
      </c>
      <c r="L53" s="55">
        <f>IF($D53="","",IF([17]設定!$I29="",INDEX([17]第３表!$F$10:$Q$66,MATCH([17]設定!$D29,[17]第３表!$C$10:$C$66,0),8),[17]設定!$I29))</f>
        <v>11.1</v>
      </c>
      <c r="M53" s="56">
        <f>IF($D53="","",IF([17]設定!$I29="",INDEX([17]第３表!$F$10:$Q$66,MATCH([17]設定!$D29,[17]第３表!$C$10:$C$66,0),9),[17]設定!$I29))</f>
        <v>17.3</v>
      </c>
      <c r="N53" s="56">
        <f>IF($D53="","",IF([17]設定!$I29="",INDEX([17]第３表!$F$10:$Q$66,MATCH([17]設定!$D29,[17]第３表!$C$10:$C$66,0),10),[17]設定!$I29))</f>
        <v>109.1</v>
      </c>
      <c r="O53" s="56">
        <f>IF($D53="","",IF([17]設定!$I29="",INDEX([17]第３表!$F$10:$Q$66,MATCH([17]設定!$D29,[17]第３表!$C$10:$C$66,0),11),[17]設定!$I29))</f>
        <v>105.3</v>
      </c>
      <c r="P53" s="57">
        <f>IF($D53="","",IF([17]設定!$I29="",INDEX([17]第３表!$F$10:$Q$66,MATCH([17]設定!$D29,[17]第３表!$C$10:$C$66,0),12),[17]設定!$I29))</f>
        <v>3.8</v>
      </c>
      <c r="Q53" s="12"/>
    </row>
    <row r="54" spans="2:17" s="8" customFormat="1" ht="17.25" customHeight="1" x14ac:dyDescent="0.45">
      <c r="B54" s="49" t="str">
        <f t="shared" si="0"/>
        <v>J</v>
      </c>
      <c r="C54" s="50"/>
      <c r="D54" s="51" t="str">
        <f t="shared" si="1"/>
        <v>金融業，保険業</v>
      </c>
      <c r="E54" s="52">
        <f>IF($D54="","",IF([17]設定!$I30="",INDEX([17]第３表!$F$10:$Q$66,MATCH([17]設定!$D30,[17]第３表!$C$10:$C$66,0),1),[17]設定!$I30))</f>
        <v>18.7</v>
      </c>
      <c r="F54" s="52">
        <f>IF($D54="","",IF([17]設定!$I30="",INDEX([17]第３表!$F$10:$Q$66,MATCH([17]設定!$D30,[17]第３表!$C$10:$C$66,0),2),[17]設定!$I30))</f>
        <v>134.30000000000001</v>
      </c>
      <c r="G54" s="52">
        <f>IF($D54="","",IF([17]設定!$I30="",INDEX([17]第３表!$F$10:$Q$66,MATCH([17]設定!$D30,[17]第３表!$C$10:$C$66,0),3),[17]設定!$I30))</f>
        <v>129.5</v>
      </c>
      <c r="H54" s="53">
        <f>IF($D54="","",IF([17]設定!$I30="",INDEX([17]第３表!$F$10:$Q$66,MATCH([17]設定!$D30,[17]第３表!$C$10:$C$66,0),4),[17]設定!$I30))</f>
        <v>4.8</v>
      </c>
      <c r="I54" s="54">
        <f>IF($D54="","",IF([17]設定!$I30="",INDEX([17]第３表!$F$10:$Q$66,MATCH([17]設定!$D30,[17]第３表!$C$10:$C$66,0),5),[17]設定!$I30))</f>
        <v>18.8</v>
      </c>
      <c r="J54" s="54">
        <f>IF($D54="","",IF([17]設定!$I30="",INDEX([17]第３表!$F$10:$Q$66,MATCH([17]設定!$D30,[17]第３表!$C$10:$C$66,0),6),[17]設定!$I30))</f>
        <v>137.19999999999999</v>
      </c>
      <c r="K54" s="54">
        <f>IF($D54="","",IF([17]設定!$I30="",INDEX([17]第３表!$F$10:$Q$66,MATCH([17]設定!$D30,[17]第３表!$C$10:$C$66,0),7),[17]設定!$I30))</f>
        <v>133.30000000000001</v>
      </c>
      <c r="L54" s="55">
        <f>IF($D54="","",IF([17]設定!$I30="",INDEX([17]第３表!$F$10:$Q$66,MATCH([17]設定!$D30,[17]第３表!$C$10:$C$66,0),8),[17]設定!$I30))</f>
        <v>3.9</v>
      </c>
      <c r="M54" s="56">
        <f>IF($D54="","",IF([17]設定!$I30="",INDEX([17]第３表!$F$10:$Q$66,MATCH([17]設定!$D30,[17]第３表!$C$10:$C$66,0),9),[17]設定!$I30))</f>
        <v>18.600000000000001</v>
      </c>
      <c r="N54" s="56">
        <f>IF($D54="","",IF([17]設定!$I30="",INDEX([17]第３表!$F$10:$Q$66,MATCH([17]設定!$D30,[17]第３表!$C$10:$C$66,0),10),[17]設定!$I30))</f>
        <v>132.1</v>
      </c>
      <c r="O54" s="56">
        <f>IF($D54="","",IF([17]設定!$I30="",INDEX([17]第３表!$F$10:$Q$66,MATCH([17]設定!$D30,[17]第３表!$C$10:$C$66,0),11),[17]設定!$I30))</f>
        <v>126.5</v>
      </c>
      <c r="P54" s="57">
        <f>IF($D54="","",IF([17]設定!$I30="",INDEX([17]第３表!$F$10:$Q$66,MATCH([17]設定!$D30,[17]第３表!$C$10:$C$66,0),12),[17]設定!$I30))</f>
        <v>5.6</v>
      </c>
      <c r="Q54" s="12"/>
    </row>
    <row r="55" spans="2:17" s="8" customFormat="1" ht="17.25" customHeight="1" x14ac:dyDescent="0.45">
      <c r="B55" s="49" t="str">
        <f t="shared" si="0"/>
        <v>K</v>
      </c>
      <c r="C55" s="50"/>
      <c r="D55" s="51" t="str">
        <f t="shared" si="1"/>
        <v>不動産業，物品賃貸業</v>
      </c>
      <c r="E55" s="52">
        <f>IF($D55="","",IF([17]設定!$I31="",INDEX([17]第３表!$F$10:$Q$66,MATCH([17]設定!$D31,[17]第３表!$C$10:$C$66,0),1),[17]設定!$I31))</f>
        <v>20</v>
      </c>
      <c r="F55" s="52">
        <f>IF($D55="","",IF([17]設定!$I31="",INDEX([17]第３表!$F$10:$Q$66,MATCH([17]設定!$D31,[17]第３表!$C$10:$C$66,0),2),[17]設定!$I31))</f>
        <v>154.5</v>
      </c>
      <c r="G55" s="52">
        <f>IF($D55="","",IF([17]設定!$I31="",INDEX([17]第３表!$F$10:$Q$66,MATCH([17]設定!$D31,[17]第３表!$C$10:$C$66,0),3),[17]設定!$I31))</f>
        <v>150.4</v>
      </c>
      <c r="H55" s="52">
        <f>IF($D55="","",IF([17]設定!$I31="",INDEX([17]第３表!$F$10:$Q$66,MATCH([17]設定!$D31,[17]第３表!$C$10:$C$66,0),4),[17]設定!$I31))</f>
        <v>4.0999999999999996</v>
      </c>
      <c r="I55" s="54">
        <f>IF($D55="","",IF([17]設定!$I31="",INDEX([17]第３表!$F$10:$Q$66,MATCH([17]設定!$D31,[17]第３表!$C$10:$C$66,0),5),[17]設定!$I31))</f>
        <v>20.7</v>
      </c>
      <c r="J55" s="54">
        <f>IF($D55="","",IF([17]設定!$I31="",INDEX([17]第３表!$F$10:$Q$66,MATCH([17]設定!$D31,[17]第３表!$C$10:$C$66,0),6),[17]設定!$I31))</f>
        <v>167.5</v>
      </c>
      <c r="K55" s="54">
        <f>IF($D55="","",IF([17]設定!$I31="",INDEX([17]第３表!$F$10:$Q$66,MATCH([17]設定!$D31,[17]第３表!$C$10:$C$66,0),7),[17]設定!$I31))</f>
        <v>161.80000000000001</v>
      </c>
      <c r="L55" s="55">
        <f>IF($D55="","",IF([17]設定!$I31="",INDEX([17]第３表!$F$10:$Q$66,MATCH([17]設定!$D31,[17]第３表!$C$10:$C$66,0),8),[17]設定!$I31))</f>
        <v>5.7</v>
      </c>
      <c r="M55" s="56">
        <f>IF($D55="","",IF([17]設定!$I31="",INDEX([17]第３表!$F$10:$Q$66,MATCH([17]設定!$D31,[17]第３表!$C$10:$C$66,0),9),[17]設定!$I31))</f>
        <v>18.8</v>
      </c>
      <c r="N55" s="56">
        <f>IF($D55="","",IF([17]設定!$I31="",INDEX([17]第３表!$F$10:$Q$66,MATCH([17]設定!$D31,[17]第３表!$C$10:$C$66,0),10),[17]設定!$I31))</f>
        <v>131.5</v>
      </c>
      <c r="O55" s="56">
        <f>IF($D55="","",IF([17]設定!$I31="",INDEX([17]第３表!$F$10:$Q$66,MATCH([17]設定!$D31,[17]第３表!$C$10:$C$66,0),11),[17]設定!$I31))</f>
        <v>130.1</v>
      </c>
      <c r="P55" s="57">
        <f>IF($D55="","",IF([17]設定!$I31="",INDEX([17]第３表!$F$10:$Q$66,MATCH([17]設定!$D31,[17]第３表!$C$10:$C$66,0),12),[17]設定!$I31))</f>
        <v>1.4</v>
      </c>
      <c r="Q55" s="12"/>
    </row>
    <row r="56" spans="2:17" s="8" customFormat="1" ht="17.25" customHeight="1" x14ac:dyDescent="0.45">
      <c r="B56" s="49" t="str">
        <f t="shared" si="0"/>
        <v>L</v>
      </c>
      <c r="C56" s="50"/>
      <c r="D56" s="59" t="str">
        <f t="shared" si="1"/>
        <v>学術研究，専門・技術サービス業</v>
      </c>
      <c r="E56" s="52">
        <f>IF($D56="","",IF([17]設定!$I32="",INDEX([17]第３表!$F$10:$Q$66,MATCH([17]設定!$D32,[17]第３表!$C$10:$C$66,0),1),[17]設定!$I32))</f>
        <v>18.5</v>
      </c>
      <c r="F56" s="52">
        <f>IF($D56="","",IF([17]設定!$I32="",INDEX([17]第３表!$F$10:$Q$66,MATCH([17]設定!$D32,[17]第３表!$C$10:$C$66,0),2),[17]設定!$I32))</f>
        <v>145.9</v>
      </c>
      <c r="G56" s="52">
        <f>IF($D56="","",IF([17]設定!$I32="",INDEX([17]第３表!$F$10:$Q$66,MATCH([17]設定!$D32,[17]第３表!$C$10:$C$66,0),3),[17]設定!$I32))</f>
        <v>139</v>
      </c>
      <c r="H56" s="53">
        <f>IF($D56="","",IF([17]設定!$I32="",INDEX([17]第３表!$F$10:$Q$66,MATCH([17]設定!$D32,[17]第３表!$C$10:$C$66,0),4),[17]設定!$I32))</f>
        <v>6.9</v>
      </c>
      <c r="I56" s="54">
        <f>IF($D56="","",IF([17]設定!$I32="",INDEX([17]第３表!$F$10:$Q$66,MATCH([17]設定!$D32,[17]第３表!$C$10:$C$66,0),5),[17]設定!$I32))</f>
        <v>18.899999999999999</v>
      </c>
      <c r="J56" s="54">
        <f>IF($D56="","",IF([17]設定!$I32="",INDEX([17]第３表!$F$10:$Q$66,MATCH([17]設定!$D32,[17]第３表!$C$10:$C$66,0),6),[17]設定!$I32))</f>
        <v>150</v>
      </c>
      <c r="K56" s="54">
        <f>IF($D56="","",IF([17]設定!$I32="",INDEX([17]第３表!$F$10:$Q$66,MATCH([17]設定!$D32,[17]第３表!$C$10:$C$66,0),7),[17]設定!$I32))</f>
        <v>142.19999999999999</v>
      </c>
      <c r="L56" s="55">
        <f>IF($D56="","",IF([17]設定!$I32="",INDEX([17]第３表!$F$10:$Q$66,MATCH([17]設定!$D32,[17]第３表!$C$10:$C$66,0),8),[17]設定!$I32))</f>
        <v>7.8</v>
      </c>
      <c r="M56" s="56">
        <f>IF($D56="","",IF([17]設定!$I32="",INDEX([17]第３表!$F$10:$Q$66,MATCH([17]設定!$D32,[17]第３表!$C$10:$C$66,0),9),[17]設定!$I32))</f>
        <v>17</v>
      </c>
      <c r="N56" s="56">
        <f>IF($D56="","",IF([17]設定!$I32="",INDEX([17]第３表!$F$10:$Q$66,MATCH([17]設定!$D32,[17]第３表!$C$10:$C$66,0),10),[17]設定!$I32))</f>
        <v>127.4</v>
      </c>
      <c r="O56" s="56">
        <f>IF($D56="","",IF([17]設定!$I32="",INDEX([17]第３表!$F$10:$Q$66,MATCH([17]設定!$D32,[17]第３表!$C$10:$C$66,0),11),[17]設定!$I32))</f>
        <v>124.9</v>
      </c>
      <c r="P56" s="57">
        <f>IF($D56="","",IF([17]設定!$I32="",INDEX([17]第３表!$F$10:$Q$66,MATCH([17]設定!$D32,[17]第３表!$C$10:$C$66,0),12),[17]設定!$I32))</f>
        <v>2.5</v>
      </c>
      <c r="Q56" s="12"/>
    </row>
    <row r="57" spans="2:17" s="8" customFormat="1" ht="17.25" customHeight="1" x14ac:dyDescent="0.45">
      <c r="B57" s="49" t="str">
        <f t="shared" si="0"/>
        <v>M</v>
      </c>
      <c r="C57" s="50"/>
      <c r="D57" s="60" t="str">
        <f t="shared" si="1"/>
        <v>宿泊業，飲食サービス業</v>
      </c>
      <c r="E57" s="52">
        <f>IF($D57="","",IF([17]設定!$I33="",INDEX([17]第３表!$F$10:$Q$66,MATCH([17]設定!$D33,[17]第３表!$C$10:$C$66,0),1),[17]設定!$I33))</f>
        <v>15.2</v>
      </c>
      <c r="F57" s="52">
        <f>IF($D57="","",IF([17]設定!$I33="",INDEX([17]第３表!$F$10:$Q$66,MATCH([17]設定!$D33,[17]第３表!$C$10:$C$66,0),2),[17]設定!$I33))</f>
        <v>96.1</v>
      </c>
      <c r="G57" s="52">
        <f>IF($D57="","",IF([17]設定!$I33="",INDEX([17]第３表!$F$10:$Q$66,MATCH([17]設定!$D33,[17]第３表!$C$10:$C$66,0),3),[17]設定!$I33))</f>
        <v>91.8</v>
      </c>
      <c r="H57" s="53">
        <f>IF($D57="","",IF([17]設定!$I33="",INDEX([17]第３表!$F$10:$Q$66,MATCH([17]設定!$D33,[17]第３表!$C$10:$C$66,0),4),[17]設定!$I33))</f>
        <v>4.3</v>
      </c>
      <c r="I57" s="54">
        <f>IF($D57="","",IF([17]設定!$I33="",INDEX([17]第３表!$F$10:$Q$66,MATCH([17]設定!$D33,[17]第３表!$C$10:$C$66,0),5),[17]設定!$I33))</f>
        <v>16.2</v>
      </c>
      <c r="J57" s="54">
        <f>IF($D57="","",IF([17]設定!$I33="",INDEX([17]第３表!$F$10:$Q$66,MATCH([17]設定!$D33,[17]第３表!$C$10:$C$66,0),6),[17]設定!$I33))</f>
        <v>109.4</v>
      </c>
      <c r="K57" s="54">
        <f>IF($D57="","",IF([17]設定!$I33="",INDEX([17]第３表!$F$10:$Q$66,MATCH([17]設定!$D33,[17]第３表!$C$10:$C$66,0),7),[17]設定!$I33))</f>
        <v>102.6</v>
      </c>
      <c r="L57" s="55">
        <f>IF($D57="","",IF([17]設定!$I33="",INDEX([17]第３表!$F$10:$Q$66,MATCH([17]設定!$D33,[17]第３表!$C$10:$C$66,0),8),[17]設定!$I33))</f>
        <v>6.8</v>
      </c>
      <c r="M57" s="56">
        <f>IF($D57="","",IF([17]設定!$I33="",INDEX([17]第３表!$F$10:$Q$66,MATCH([17]設定!$D33,[17]第３表!$C$10:$C$66,0),9),[17]設定!$I33))</f>
        <v>14.7</v>
      </c>
      <c r="N57" s="56">
        <f>IF($D57="","",IF([17]設定!$I33="",INDEX([17]第３表!$F$10:$Q$66,MATCH([17]設定!$D33,[17]第３表!$C$10:$C$66,0),10),[17]設定!$I33))</f>
        <v>88</v>
      </c>
      <c r="O57" s="56">
        <f>IF($D57="","",IF([17]設定!$I33="",INDEX([17]第３表!$F$10:$Q$66,MATCH([17]設定!$D33,[17]第３表!$C$10:$C$66,0),11),[17]設定!$I33))</f>
        <v>85.2</v>
      </c>
      <c r="P57" s="57">
        <f>IF($D57="","",IF([17]設定!$I33="",INDEX([17]第３表!$F$10:$Q$66,MATCH([17]設定!$D33,[17]第３表!$C$10:$C$66,0),12),[17]設定!$I33))</f>
        <v>2.8</v>
      </c>
      <c r="Q57" s="12"/>
    </row>
    <row r="58" spans="2:17" s="8" customFormat="1" ht="17.25" customHeight="1" x14ac:dyDescent="0.45">
      <c r="B58" s="49" t="str">
        <f t="shared" si="0"/>
        <v>N</v>
      </c>
      <c r="C58" s="50"/>
      <c r="D58" s="61" t="str">
        <f t="shared" si="1"/>
        <v>生活関連サービス業，娯楽業</v>
      </c>
      <c r="E58" s="52">
        <f>IF($D58="","",IF([17]設定!$I34="",INDEX([17]第３表!$F$10:$Q$66,MATCH([17]設定!$D34,[17]第３表!$C$10:$C$66,0),1),[17]設定!$I34))</f>
        <v>16.2</v>
      </c>
      <c r="F58" s="52">
        <f>IF($D58="","",IF([17]設定!$I34="",INDEX([17]第３表!$F$10:$Q$66,MATCH([17]設定!$D34,[17]第３表!$C$10:$C$66,0),2),[17]設定!$I34))</f>
        <v>135.4</v>
      </c>
      <c r="G58" s="52">
        <f>IF($D58="","",IF([17]設定!$I34="",INDEX([17]第３表!$F$10:$Q$66,MATCH([17]設定!$D34,[17]第３表!$C$10:$C$66,0),3),[17]設定!$I34))</f>
        <v>127.9</v>
      </c>
      <c r="H58" s="53">
        <f>IF($D58="","",IF([17]設定!$I34="",INDEX([17]第３表!$F$10:$Q$66,MATCH([17]設定!$D34,[17]第３表!$C$10:$C$66,0),4),[17]設定!$I34))</f>
        <v>7.5</v>
      </c>
      <c r="I58" s="54">
        <f>IF($D58="","",IF([17]設定!$I34="",INDEX([17]第３表!$F$10:$Q$66,MATCH([17]設定!$D34,[17]第３表!$C$10:$C$66,0),5),[17]設定!$I34))</f>
        <v>16.3</v>
      </c>
      <c r="J58" s="54">
        <f>IF($D58="","",IF([17]設定!$I34="",INDEX([17]第３表!$F$10:$Q$66,MATCH([17]設定!$D34,[17]第３表!$C$10:$C$66,0),6),[17]設定!$I34))</f>
        <v>140.30000000000001</v>
      </c>
      <c r="K58" s="54">
        <f>IF($D58="","",IF([17]設定!$I34="",INDEX([17]第３表!$F$10:$Q$66,MATCH([17]設定!$D34,[17]第３表!$C$10:$C$66,0),7),[17]設定!$I34))</f>
        <v>131.69999999999999</v>
      </c>
      <c r="L58" s="55">
        <f>IF($D58="","",IF([17]設定!$I34="",INDEX([17]第３表!$F$10:$Q$66,MATCH([17]設定!$D34,[17]第３表!$C$10:$C$66,0),8),[17]設定!$I34))</f>
        <v>8.6</v>
      </c>
      <c r="M58" s="56">
        <f>IF($D58="","",IF([17]設定!$I34="",INDEX([17]第３表!$F$10:$Q$66,MATCH([17]設定!$D34,[17]第３表!$C$10:$C$66,0),9),[17]設定!$I34))</f>
        <v>16.100000000000001</v>
      </c>
      <c r="N58" s="56">
        <f>IF($D58="","",IF([17]設定!$I34="",INDEX([17]第３表!$F$10:$Q$66,MATCH([17]設定!$D34,[17]第３表!$C$10:$C$66,0),10),[17]設定!$I34))</f>
        <v>127.6</v>
      </c>
      <c r="O58" s="56">
        <f>IF($D58="","",IF([17]設定!$I34="",INDEX([17]第３表!$F$10:$Q$66,MATCH([17]設定!$D34,[17]第３表!$C$10:$C$66,0),11),[17]設定!$I34))</f>
        <v>121.9</v>
      </c>
      <c r="P58" s="57">
        <f>IF($D58="","",IF([17]設定!$I34="",INDEX([17]第３表!$F$10:$Q$66,MATCH([17]設定!$D34,[17]第３表!$C$10:$C$66,0),12),[17]設定!$I34))</f>
        <v>5.7</v>
      </c>
      <c r="Q58" s="12"/>
    </row>
    <row r="59" spans="2:17" s="8" customFormat="1" ht="17.25" customHeight="1" x14ac:dyDescent="0.45">
      <c r="B59" s="49" t="str">
        <f t="shared" si="0"/>
        <v>O</v>
      </c>
      <c r="C59" s="50"/>
      <c r="D59" s="51" t="str">
        <f t="shared" si="1"/>
        <v>教育，学習支援業</v>
      </c>
      <c r="E59" s="52">
        <f>IF($D59="","",IF([17]設定!$I35="",INDEX([17]第３表!$F$10:$Q$66,MATCH([17]設定!$D35,[17]第３表!$C$10:$C$66,0),1),[17]設定!$I35))</f>
        <v>17.899999999999999</v>
      </c>
      <c r="F59" s="52">
        <f>IF($D59="","",IF([17]設定!$I35="",INDEX([17]第３表!$F$10:$Q$66,MATCH([17]設定!$D35,[17]第３表!$C$10:$C$66,0),2),[17]設定!$I35))</f>
        <v>161.30000000000001</v>
      </c>
      <c r="G59" s="52">
        <f>IF($D59="","",IF([17]設定!$I35="",INDEX([17]第３表!$F$10:$Q$66,MATCH([17]設定!$D35,[17]第３表!$C$10:$C$66,0),3),[17]設定!$I35))</f>
        <v>133.4</v>
      </c>
      <c r="H59" s="53">
        <f>IF($D59="","",IF([17]設定!$I35="",INDEX([17]第３表!$F$10:$Q$66,MATCH([17]設定!$D35,[17]第３表!$C$10:$C$66,0),4),[17]設定!$I35))</f>
        <v>27.9</v>
      </c>
      <c r="I59" s="54">
        <f>IF($D59="","",IF([17]設定!$I35="",INDEX([17]第３表!$F$10:$Q$66,MATCH([17]設定!$D35,[17]第３表!$C$10:$C$66,0),5),[17]設定!$I35))</f>
        <v>18.399999999999999</v>
      </c>
      <c r="J59" s="54">
        <f>IF($D59="","",IF([17]設定!$I35="",INDEX([17]第３表!$F$10:$Q$66,MATCH([17]設定!$D35,[17]第３表!$C$10:$C$66,0),6),[17]設定!$I35))</f>
        <v>173.8</v>
      </c>
      <c r="K59" s="54">
        <f>IF($D59="","",IF([17]設定!$I35="",INDEX([17]第３表!$F$10:$Q$66,MATCH([17]設定!$D35,[17]第３表!$C$10:$C$66,0),7),[17]設定!$I35))</f>
        <v>138.80000000000001</v>
      </c>
      <c r="L59" s="55">
        <f>IF($D59="","",IF([17]設定!$I35="",INDEX([17]第３表!$F$10:$Q$66,MATCH([17]設定!$D35,[17]第３表!$C$10:$C$66,0),8),[17]設定!$I35))</f>
        <v>35</v>
      </c>
      <c r="M59" s="56">
        <f>IF($D59="","",IF([17]設定!$I35="",INDEX([17]第３表!$F$10:$Q$66,MATCH([17]設定!$D35,[17]第３表!$C$10:$C$66,0),9),[17]設定!$I35))</f>
        <v>17.5</v>
      </c>
      <c r="N59" s="56">
        <f>IF($D59="","",IF([17]設定!$I35="",INDEX([17]第３表!$F$10:$Q$66,MATCH([17]設定!$D35,[17]第３表!$C$10:$C$66,0),10),[17]設定!$I35))</f>
        <v>149.9</v>
      </c>
      <c r="O59" s="56">
        <f>IF($D59="","",IF([17]設定!$I35="",INDEX([17]第３表!$F$10:$Q$66,MATCH([17]設定!$D35,[17]第３表!$C$10:$C$66,0),11),[17]設定!$I35))</f>
        <v>128.4</v>
      </c>
      <c r="P59" s="57">
        <f>IF($D59="","",IF([17]設定!$I35="",INDEX([17]第３表!$F$10:$Q$66,MATCH([17]設定!$D35,[17]第３表!$C$10:$C$66,0),12),[17]設定!$I35))</f>
        <v>21.5</v>
      </c>
      <c r="Q59" s="12"/>
    </row>
    <row r="60" spans="2:17" s="8" customFormat="1" ht="17.25" customHeight="1" x14ac:dyDescent="0.45">
      <c r="B60" s="49" t="str">
        <f t="shared" si="0"/>
        <v>P</v>
      </c>
      <c r="C60" s="50"/>
      <c r="D60" s="51" t="str">
        <f t="shared" si="1"/>
        <v>医療，福祉</v>
      </c>
      <c r="E60" s="52">
        <f>IF($D60="","",IF([17]設定!$I36="",INDEX([17]第３表!$F$10:$Q$66,MATCH([17]設定!$D36,[17]第３表!$C$10:$C$66,0),1),[17]設定!$I36))</f>
        <v>18.8</v>
      </c>
      <c r="F60" s="52">
        <f>IF($D60="","",IF([17]設定!$I36="",INDEX([17]第３表!$F$10:$Q$66,MATCH([17]設定!$D36,[17]第３表!$C$10:$C$66,0),2),[17]設定!$I36))</f>
        <v>137.69999999999999</v>
      </c>
      <c r="G60" s="52">
        <f>IF($D60="","",IF([17]設定!$I36="",INDEX([17]第３表!$F$10:$Q$66,MATCH([17]設定!$D36,[17]第３表!$C$10:$C$66,0),3),[17]設定!$I36))</f>
        <v>133.30000000000001</v>
      </c>
      <c r="H60" s="53">
        <f>IF($D60="","",IF([17]設定!$I36="",INDEX([17]第３表!$F$10:$Q$66,MATCH([17]設定!$D36,[17]第３表!$C$10:$C$66,0),4),[17]設定!$I36))</f>
        <v>4.4000000000000004</v>
      </c>
      <c r="I60" s="54">
        <f>IF($D60="","",IF([17]設定!$I36="",INDEX([17]第３表!$F$10:$Q$66,MATCH([17]設定!$D36,[17]第３表!$C$10:$C$66,0),5),[17]設定!$I36))</f>
        <v>19.3</v>
      </c>
      <c r="J60" s="54">
        <f>IF($D60="","",IF([17]設定!$I36="",INDEX([17]第３表!$F$10:$Q$66,MATCH([17]設定!$D36,[17]第３表!$C$10:$C$66,0),6),[17]設定!$I36))</f>
        <v>148.1</v>
      </c>
      <c r="K60" s="54">
        <f>IF($D60="","",IF([17]設定!$I36="",INDEX([17]第３表!$F$10:$Q$66,MATCH([17]設定!$D36,[17]第３表!$C$10:$C$66,0),7),[17]設定!$I36))</f>
        <v>142.1</v>
      </c>
      <c r="L60" s="55">
        <f>IF($D60="","",IF([17]設定!$I36="",INDEX([17]第３表!$F$10:$Q$66,MATCH([17]設定!$D36,[17]第３表!$C$10:$C$66,0),8),[17]設定!$I36))</f>
        <v>6</v>
      </c>
      <c r="M60" s="56">
        <f>IF($D60="","",IF([17]設定!$I36="",INDEX([17]第３表!$F$10:$Q$66,MATCH([17]設定!$D36,[17]第３表!$C$10:$C$66,0),9),[17]設定!$I36))</f>
        <v>18.600000000000001</v>
      </c>
      <c r="N60" s="56">
        <f>IF($D60="","",IF([17]設定!$I36="",INDEX([17]第３表!$F$10:$Q$66,MATCH([17]設定!$D36,[17]第３表!$C$10:$C$66,0),10),[17]設定!$I36))</f>
        <v>134.1</v>
      </c>
      <c r="O60" s="56">
        <f>IF($D60="","",IF([17]設定!$I36="",INDEX([17]第３表!$F$10:$Q$66,MATCH([17]設定!$D36,[17]第３表!$C$10:$C$66,0),11),[17]設定!$I36))</f>
        <v>130.30000000000001</v>
      </c>
      <c r="P60" s="57">
        <f>IF($D60="","",IF([17]設定!$I36="",INDEX([17]第３表!$F$10:$Q$66,MATCH([17]設定!$D36,[17]第３表!$C$10:$C$66,0),12),[17]設定!$I36))</f>
        <v>3.8</v>
      </c>
      <c r="Q60" s="12"/>
    </row>
    <row r="61" spans="2:17" s="8" customFormat="1" ht="17.25" customHeight="1" x14ac:dyDescent="0.45">
      <c r="B61" s="49" t="str">
        <f t="shared" si="0"/>
        <v>Q</v>
      </c>
      <c r="C61" s="50"/>
      <c r="D61" s="51" t="str">
        <f t="shared" si="1"/>
        <v>複合サービス事業</v>
      </c>
      <c r="E61" s="52">
        <f>IF($D61="","",IF([17]設定!$I37="",INDEX([17]第３表!$F$10:$Q$66,MATCH([17]設定!$D37,[17]第３表!$C$10:$C$66,0),1),[17]設定!$I37))</f>
        <v>19.399999999999999</v>
      </c>
      <c r="F61" s="52">
        <f>IF($D61="","",IF([17]設定!$I37="",INDEX([17]第３表!$F$10:$Q$66,MATCH([17]設定!$D37,[17]第３表!$C$10:$C$66,0),2),[17]設定!$I37))</f>
        <v>153.30000000000001</v>
      </c>
      <c r="G61" s="52">
        <f>IF($D61="","",IF([17]設定!$I37="",INDEX([17]第３表!$F$10:$Q$66,MATCH([17]設定!$D37,[17]第３表!$C$10:$C$66,0),3),[17]設定!$I37))</f>
        <v>149.19999999999999</v>
      </c>
      <c r="H61" s="53">
        <f>IF($D61="","",IF([17]設定!$I37="",INDEX([17]第３表!$F$10:$Q$66,MATCH([17]設定!$D37,[17]第３表!$C$10:$C$66,0),4),[17]設定!$I37))</f>
        <v>4.0999999999999996</v>
      </c>
      <c r="I61" s="54">
        <f>IF($D61="","",IF([17]設定!$I37="",INDEX([17]第３表!$F$10:$Q$66,MATCH([17]設定!$D37,[17]第３表!$C$10:$C$66,0),5),[17]設定!$I37))</f>
        <v>19.7</v>
      </c>
      <c r="J61" s="54">
        <f>IF($D61="","",IF([17]設定!$I37="",INDEX([17]第３表!$F$10:$Q$66,MATCH([17]設定!$D37,[17]第３表!$C$10:$C$66,0),6),[17]設定!$I37))</f>
        <v>159.5</v>
      </c>
      <c r="K61" s="54">
        <f>IF($D61="","",IF([17]設定!$I37="",INDEX([17]第３表!$F$10:$Q$66,MATCH([17]設定!$D37,[17]第３表!$C$10:$C$66,0),7),[17]設定!$I37))</f>
        <v>154.1</v>
      </c>
      <c r="L61" s="55">
        <f>IF($D61="","",IF([17]設定!$I37="",INDEX([17]第３表!$F$10:$Q$66,MATCH([17]設定!$D37,[17]第３表!$C$10:$C$66,0),8),[17]設定!$I37))</f>
        <v>5.4</v>
      </c>
      <c r="M61" s="56">
        <f>IF($D61="","",IF([17]設定!$I37="",INDEX([17]第３表!$F$10:$Q$66,MATCH([17]設定!$D37,[17]第３表!$C$10:$C$66,0),9),[17]設定!$I37))</f>
        <v>19</v>
      </c>
      <c r="N61" s="56">
        <f>IF($D61="","",IF([17]設定!$I37="",INDEX([17]第３表!$F$10:$Q$66,MATCH([17]設定!$D37,[17]第３表!$C$10:$C$66,0),10),[17]設定!$I37))</f>
        <v>143.6</v>
      </c>
      <c r="O61" s="56">
        <f>IF($D61="","",IF([17]設定!$I37="",INDEX([17]第３表!$F$10:$Q$66,MATCH([17]設定!$D37,[17]第３表!$C$10:$C$66,0),11),[17]設定!$I37))</f>
        <v>141.5</v>
      </c>
      <c r="P61" s="57">
        <f>IF($D61="","",IF([17]設定!$I37="",INDEX([17]第３表!$F$10:$Q$66,MATCH([17]設定!$D37,[17]第３表!$C$10:$C$66,0),12),[17]設定!$I37))</f>
        <v>2.1</v>
      </c>
      <c r="Q61" s="12"/>
    </row>
    <row r="62" spans="2:17" s="8" customFormat="1" ht="17.25" customHeight="1" x14ac:dyDescent="0.45">
      <c r="B62" s="49" t="str">
        <f t="shared" si="0"/>
        <v>R</v>
      </c>
      <c r="C62" s="50"/>
      <c r="D62" s="62" t="str">
        <f t="shared" si="1"/>
        <v>サービス業（他に分類されないもの）</v>
      </c>
      <c r="E62" s="52">
        <f>IF($D62="","",IF([17]設定!$I38="",INDEX([17]第３表!$F$10:$Q$66,MATCH([17]設定!$D38,[17]第３表!$C$10:$C$66,0),1),[17]設定!$I38))</f>
        <v>18.3</v>
      </c>
      <c r="F62" s="52">
        <f>IF($D62="","",IF([17]設定!$I38="",INDEX([17]第３表!$F$10:$Q$66,MATCH([17]設定!$D38,[17]第３表!$C$10:$C$66,0),2),[17]設定!$I38))</f>
        <v>140.9</v>
      </c>
      <c r="G62" s="52">
        <f>IF($D62="","",IF([17]設定!$I38="",INDEX([17]第３表!$F$10:$Q$66,MATCH([17]設定!$D38,[17]第３表!$C$10:$C$66,0),3),[17]設定!$I38))</f>
        <v>132.1</v>
      </c>
      <c r="H62" s="53">
        <f>IF($D62="","",IF([17]設定!$I38="",INDEX([17]第３表!$F$10:$Q$66,MATCH([17]設定!$D38,[17]第３表!$C$10:$C$66,0),4),[17]設定!$I38))</f>
        <v>8.8000000000000007</v>
      </c>
      <c r="I62" s="54">
        <f>IF($D62="","",IF([17]設定!$I38="",INDEX([17]第３表!$F$10:$Q$66,MATCH([17]設定!$D38,[17]第３表!$C$10:$C$66,0),5),[17]設定!$I38))</f>
        <v>18.7</v>
      </c>
      <c r="J62" s="54">
        <f>IF($D62="","",IF([17]設定!$I38="",INDEX([17]第３表!$F$10:$Q$66,MATCH([17]設定!$D38,[17]第３表!$C$10:$C$66,0),6),[17]設定!$I38))</f>
        <v>154.30000000000001</v>
      </c>
      <c r="K62" s="54">
        <f>IF($D62="","",IF([17]設定!$I38="",INDEX([17]第３表!$F$10:$Q$66,MATCH([17]設定!$D38,[17]第３表!$C$10:$C$66,0),7),[17]設定!$I38))</f>
        <v>142</v>
      </c>
      <c r="L62" s="55">
        <f>IF($D62="","",IF([17]設定!$I38="",INDEX([17]第３表!$F$10:$Q$66,MATCH([17]設定!$D38,[17]第３表!$C$10:$C$66,0),8),[17]設定!$I38))</f>
        <v>12.3</v>
      </c>
      <c r="M62" s="56">
        <f>IF($D62="","",IF([17]設定!$I38="",INDEX([17]第３表!$F$10:$Q$66,MATCH([17]設定!$D38,[17]第３表!$C$10:$C$66,0),9),[17]設定!$I38))</f>
        <v>18</v>
      </c>
      <c r="N62" s="56">
        <f>IF($D62="","",IF([17]設定!$I38="",INDEX([17]第３表!$F$10:$Q$66,MATCH([17]設定!$D38,[17]第３表!$C$10:$C$66,0),10),[17]設定!$I38))</f>
        <v>125.6</v>
      </c>
      <c r="O62" s="56">
        <f>IF($D62="","",IF([17]設定!$I38="",INDEX([17]第３表!$F$10:$Q$66,MATCH([17]設定!$D38,[17]第３表!$C$10:$C$66,0),11),[17]設定!$I38))</f>
        <v>120.8</v>
      </c>
      <c r="P62" s="57">
        <f>IF($D62="","",IF([17]設定!$I38="",INDEX([17]第３表!$F$10:$Q$66,MATCH([17]設定!$D38,[17]第３表!$C$10:$C$66,0),12),[17]設定!$I38))</f>
        <v>4.8</v>
      </c>
      <c r="Q62" s="12"/>
    </row>
    <row r="63" spans="2:17" s="8" customFormat="1" ht="17.25" customHeight="1" x14ac:dyDescent="0.45">
      <c r="B63" s="45" t="str">
        <f t="shared" si="0"/>
        <v>E09,10</v>
      </c>
      <c r="C63" s="46"/>
      <c r="D63" s="63" t="str">
        <f t="shared" si="1"/>
        <v>食料品・たばこ</v>
      </c>
      <c r="E63" s="48">
        <f>IF($D63="","",IF([17]設定!$I39="",INDEX([17]第３表!$F$10:$Q$66,MATCH([17]設定!$D39,[17]第３表!$C$10:$C$66,0),1),[17]設定!$I39))</f>
        <v>20</v>
      </c>
      <c r="F63" s="48">
        <f>IF($D63="","",IF([17]設定!$I39="",INDEX([17]第３表!$F$10:$Q$66,MATCH([17]設定!$D39,[17]第３表!$C$10:$C$66,0),2),[17]設定!$I39))</f>
        <v>160.19999999999999</v>
      </c>
      <c r="G63" s="48">
        <f>IF($D63="","",IF([17]設定!$I39="",INDEX([17]第３表!$F$10:$Q$66,MATCH([17]設定!$D39,[17]第３表!$C$10:$C$66,0),3),[17]設定!$I39))</f>
        <v>150.19999999999999</v>
      </c>
      <c r="H63" s="64">
        <f>IF($D63="","",IF([17]設定!$I39="",INDEX([17]第３表!$F$10:$Q$66,MATCH([17]設定!$D39,[17]第３表!$C$10:$C$66,0),4),[17]設定!$I39))</f>
        <v>10</v>
      </c>
      <c r="I63" s="48">
        <f>IF($D63="","",IF([17]設定!$I39="",INDEX([17]第３表!$F$10:$Q$66,MATCH([17]設定!$D39,[17]第３表!$C$10:$C$66,0),5),[17]設定!$I39))</f>
        <v>20.7</v>
      </c>
      <c r="J63" s="48">
        <f>IF($D63="","",IF([17]設定!$I39="",INDEX([17]第３表!$F$10:$Q$66,MATCH([17]設定!$D39,[17]第３表!$C$10:$C$66,0),6),[17]設定!$I39))</f>
        <v>171.7</v>
      </c>
      <c r="K63" s="48">
        <f>IF($D63="","",IF([17]設定!$I39="",INDEX([17]第３表!$F$10:$Q$66,MATCH([17]設定!$D39,[17]第３表!$C$10:$C$66,0),7),[17]設定!$I39))</f>
        <v>158.4</v>
      </c>
      <c r="L63" s="64">
        <f>IF($D63="","",IF([17]設定!$I39="",INDEX([17]第３表!$F$10:$Q$66,MATCH([17]設定!$D39,[17]第３表!$C$10:$C$66,0),8),[17]設定!$I39))</f>
        <v>13.3</v>
      </c>
      <c r="M63" s="48">
        <f>IF($D63="","",IF([17]設定!$I39="",INDEX([17]第３表!$F$10:$Q$66,MATCH([17]設定!$D39,[17]第３表!$C$10:$C$66,0),9),[17]設定!$I39))</f>
        <v>19.399999999999999</v>
      </c>
      <c r="N63" s="48">
        <f>IF($D63="","",IF([17]設定!$I39="",INDEX([17]第３表!$F$10:$Q$66,MATCH([17]設定!$D39,[17]第３表!$C$10:$C$66,0),10),[17]設定!$I39))</f>
        <v>150.1</v>
      </c>
      <c r="O63" s="48">
        <f>IF($D63="","",IF([17]設定!$I39="",INDEX([17]第３表!$F$10:$Q$66,MATCH([17]設定!$D39,[17]第３表!$C$10:$C$66,0),11),[17]設定!$I39))</f>
        <v>143</v>
      </c>
      <c r="P63" s="64">
        <f>IF($D63="","",IF([17]設定!$I39="",INDEX([17]第３表!$F$10:$Q$66,MATCH([17]設定!$D39,[17]第３表!$C$10:$C$66,0),12),[17]設定!$I39))</f>
        <v>7.1</v>
      </c>
      <c r="Q63" s="12"/>
    </row>
    <row r="64" spans="2:17" s="8" customFormat="1" ht="17.25" customHeight="1" x14ac:dyDescent="0.45">
      <c r="B64" s="49" t="str">
        <f t="shared" si="0"/>
        <v>E11</v>
      </c>
      <c r="C64" s="50"/>
      <c r="D64" s="65" t="str">
        <f t="shared" si="1"/>
        <v>繊維工業</v>
      </c>
      <c r="E64" s="52">
        <f>IF($D64="","",IF([17]設定!$I40="",INDEX([17]第３表!$F$10:$Q$66,MATCH([17]設定!$D40,[17]第３表!$C$10:$C$66,0),1),[17]設定!$I40))</f>
        <v>19.5</v>
      </c>
      <c r="F64" s="52">
        <f>IF($D64="","",IF([17]設定!$I40="",INDEX([17]第３表!$F$10:$Q$66,MATCH([17]設定!$D40,[17]第３表!$C$10:$C$66,0),2),[17]設定!$I40))</f>
        <v>155.6</v>
      </c>
      <c r="G64" s="52">
        <f>IF($D64="","",IF([17]設定!$I40="",INDEX([17]第３表!$F$10:$Q$66,MATCH([17]設定!$D40,[17]第３表!$C$10:$C$66,0),3),[17]設定!$I40))</f>
        <v>142.80000000000001</v>
      </c>
      <c r="H64" s="55">
        <f>IF($D64="","",IF([17]設定!$I40="",INDEX([17]第３表!$F$10:$Q$66,MATCH([17]設定!$D40,[17]第３表!$C$10:$C$66,0),4),[17]設定!$I40))</f>
        <v>12.8</v>
      </c>
      <c r="I64" s="52">
        <f>IF($D64="","",IF([17]設定!$I40="",INDEX([17]第３表!$F$10:$Q$66,MATCH([17]設定!$D40,[17]第３表!$C$10:$C$66,0),5),[17]設定!$I40))</f>
        <v>19.5</v>
      </c>
      <c r="J64" s="52">
        <f>IF($D64="","",IF([17]設定!$I40="",INDEX([17]第３表!$F$10:$Q$66,MATCH([17]設定!$D40,[17]第３表!$C$10:$C$66,0),6),[17]設定!$I40))</f>
        <v>160.1</v>
      </c>
      <c r="K64" s="52">
        <f>IF($D64="","",IF([17]設定!$I40="",INDEX([17]第３表!$F$10:$Q$66,MATCH([17]設定!$D40,[17]第３表!$C$10:$C$66,0),7),[17]設定!$I40))</f>
        <v>144.80000000000001</v>
      </c>
      <c r="L64" s="55">
        <f>IF($D64="","",IF([17]設定!$I40="",INDEX([17]第３表!$F$10:$Q$66,MATCH([17]設定!$D40,[17]第３表!$C$10:$C$66,0),8),[17]設定!$I40))</f>
        <v>15.3</v>
      </c>
      <c r="M64" s="52">
        <f>IF($D64="","",IF([17]設定!$I40="",INDEX([17]第３表!$F$10:$Q$66,MATCH([17]設定!$D40,[17]第３表!$C$10:$C$66,0),9),[17]設定!$I40))</f>
        <v>19.399999999999999</v>
      </c>
      <c r="N64" s="52">
        <f>IF($D64="","",IF([17]設定!$I40="",INDEX([17]第３表!$F$10:$Q$66,MATCH([17]設定!$D40,[17]第３表!$C$10:$C$66,0),10),[17]設定!$I40))</f>
        <v>152.4</v>
      </c>
      <c r="O64" s="52">
        <f>IF($D64="","",IF([17]設定!$I40="",INDEX([17]第３表!$F$10:$Q$66,MATCH([17]設定!$D40,[17]第３表!$C$10:$C$66,0),11),[17]設定!$I40))</f>
        <v>141.4</v>
      </c>
      <c r="P64" s="55">
        <f>IF($D64="","",IF([17]設定!$I40="",INDEX([17]第３表!$F$10:$Q$66,MATCH([17]設定!$D40,[17]第３表!$C$10:$C$66,0),12),[17]設定!$I40))</f>
        <v>11</v>
      </c>
      <c r="Q64" s="12"/>
    </row>
    <row r="65" spans="2:16" ht="17.25" customHeight="1" x14ac:dyDescent="0.45">
      <c r="B65" s="49" t="str">
        <f t="shared" si="0"/>
        <v>E12</v>
      </c>
      <c r="C65" s="50"/>
      <c r="D65" s="65" t="str">
        <f t="shared" si="1"/>
        <v>木材・木製品</v>
      </c>
      <c r="E65" s="52">
        <f>IF($D65="","",IF([17]設定!$I41="",INDEX([17]第３表!$F$10:$Q$66,MATCH([17]設定!$D41,[17]第３表!$C$10:$C$66,0),1),[17]設定!$I41))</f>
        <v>20.2</v>
      </c>
      <c r="F65" s="52">
        <f>IF($D65="","",IF([17]設定!$I41="",INDEX([17]第３表!$F$10:$Q$66,MATCH([17]設定!$D41,[17]第３表!$C$10:$C$66,0),2),[17]設定!$I41))</f>
        <v>163.6</v>
      </c>
      <c r="G65" s="52">
        <f>IF($D65="","",IF([17]設定!$I41="",INDEX([17]第３表!$F$10:$Q$66,MATCH([17]設定!$D41,[17]第３表!$C$10:$C$66,0),3),[17]設定!$I41))</f>
        <v>152.9</v>
      </c>
      <c r="H65" s="55">
        <f>IF($D65="","",IF([17]設定!$I41="",INDEX([17]第３表!$F$10:$Q$66,MATCH([17]設定!$D41,[17]第３表!$C$10:$C$66,0),4),[17]設定!$I41))</f>
        <v>10.7</v>
      </c>
      <c r="I65" s="52">
        <f>IF($D65="","",IF([17]設定!$I41="",INDEX([17]第３表!$F$10:$Q$66,MATCH([17]設定!$D41,[17]第３表!$C$10:$C$66,0),5),[17]設定!$I41))</f>
        <v>19.8</v>
      </c>
      <c r="J65" s="52">
        <f>IF($D65="","",IF([17]設定!$I41="",INDEX([17]第３表!$F$10:$Q$66,MATCH([17]設定!$D41,[17]第３表!$C$10:$C$66,0),6),[17]設定!$I41))</f>
        <v>167.7</v>
      </c>
      <c r="K65" s="52">
        <f>IF($D65="","",IF([17]設定!$I41="",INDEX([17]第３表!$F$10:$Q$66,MATCH([17]設定!$D41,[17]第３表!$C$10:$C$66,0),7),[17]設定!$I41))</f>
        <v>155.19999999999999</v>
      </c>
      <c r="L65" s="55">
        <f>IF($D65="","",IF([17]設定!$I41="",INDEX([17]第３表!$F$10:$Q$66,MATCH([17]設定!$D41,[17]第３表!$C$10:$C$66,0),8),[17]設定!$I41))</f>
        <v>12.5</v>
      </c>
      <c r="M65" s="52">
        <f>IF($D65="","",IF([17]設定!$I41="",INDEX([17]第３表!$F$10:$Q$66,MATCH([17]設定!$D41,[17]第３表!$C$10:$C$66,0),9),[17]設定!$I41))</f>
        <v>21.7</v>
      </c>
      <c r="N65" s="52">
        <f>IF($D65="","",IF([17]設定!$I41="",INDEX([17]第３表!$F$10:$Q$66,MATCH([17]設定!$D41,[17]第３表!$C$10:$C$66,0),10),[17]設定!$I41))</f>
        <v>146</v>
      </c>
      <c r="O65" s="52">
        <f>IF($D65="","",IF([17]設定!$I41="",INDEX([17]第３表!$F$10:$Q$66,MATCH([17]設定!$D41,[17]第３表!$C$10:$C$66,0),11),[17]設定!$I41))</f>
        <v>142.9</v>
      </c>
      <c r="P65" s="55">
        <f>IF($D65="","",IF([17]設定!$I41="",INDEX([17]第３表!$F$10:$Q$66,MATCH([17]設定!$D41,[17]第３表!$C$10:$C$66,0),12),[17]設定!$I41))</f>
        <v>3.1</v>
      </c>
    </row>
    <row r="66" spans="2:16" ht="17.25" customHeight="1" x14ac:dyDescent="0.45">
      <c r="B66" s="49" t="str">
        <f t="shared" si="0"/>
        <v>E13</v>
      </c>
      <c r="C66" s="50"/>
      <c r="D66" s="65" t="str">
        <f t="shared" si="1"/>
        <v>家具・装備品</v>
      </c>
      <c r="E66" s="52" t="str">
        <f>IF($D66="","",IF([17]設定!$I42="",INDEX([17]第３表!$F$10:$Q$66,MATCH([17]設定!$D42,[17]第３表!$C$10:$C$66,0),1),[17]設定!$I42))</f>
        <v>x</v>
      </c>
      <c r="F66" s="52" t="str">
        <f>IF($D66="","",IF([17]設定!$I42="",INDEX([17]第３表!$F$10:$Q$66,MATCH([17]設定!$D42,[17]第３表!$C$10:$C$66,0),2),[17]設定!$I42))</f>
        <v>x</v>
      </c>
      <c r="G66" s="52" t="str">
        <f>IF($D66="","",IF([17]設定!$I42="",INDEX([17]第３表!$F$10:$Q$66,MATCH([17]設定!$D42,[17]第３表!$C$10:$C$66,0),3),[17]設定!$I42))</f>
        <v>x</v>
      </c>
      <c r="H66" s="55" t="str">
        <f>IF($D66="","",IF([17]設定!$I42="",INDEX([17]第３表!$F$10:$Q$66,MATCH([17]設定!$D42,[17]第３表!$C$10:$C$66,0),4),[17]設定!$I42))</f>
        <v>x</v>
      </c>
      <c r="I66" s="52" t="str">
        <f>IF($D66="","",IF([17]設定!$I42="",INDEX([17]第３表!$F$10:$Q$66,MATCH([17]設定!$D42,[17]第３表!$C$10:$C$66,0),5),[17]設定!$I42))</f>
        <v>x</v>
      </c>
      <c r="J66" s="52" t="str">
        <f>IF($D66="","",IF([17]設定!$I42="",INDEX([17]第３表!$F$10:$Q$66,MATCH([17]設定!$D42,[17]第３表!$C$10:$C$66,0),6),[17]設定!$I42))</f>
        <v>x</v>
      </c>
      <c r="K66" s="52" t="str">
        <f>IF($D66="","",IF([17]設定!$I42="",INDEX([17]第３表!$F$10:$Q$66,MATCH([17]設定!$D42,[17]第３表!$C$10:$C$66,0),7),[17]設定!$I42))</f>
        <v>x</v>
      </c>
      <c r="L66" s="55" t="str">
        <f>IF($D66="","",IF([17]設定!$I42="",INDEX([17]第３表!$F$10:$Q$66,MATCH([17]設定!$D42,[17]第３表!$C$10:$C$66,0),8),[17]設定!$I42))</f>
        <v>x</v>
      </c>
      <c r="M66" s="52" t="str">
        <f>IF($D66="","",IF([17]設定!$I42="",INDEX([17]第３表!$F$10:$Q$66,MATCH([17]設定!$D42,[17]第３表!$C$10:$C$66,0),9),[17]設定!$I42))</f>
        <v>x</v>
      </c>
      <c r="N66" s="52" t="str">
        <f>IF($D66="","",IF([17]設定!$I42="",INDEX([17]第３表!$F$10:$Q$66,MATCH([17]設定!$D42,[17]第３表!$C$10:$C$66,0),10),[17]設定!$I42))</f>
        <v>x</v>
      </c>
      <c r="O66" s="52" t="str">
        <f>IF($D66="","",IF([17]設定!$I42="",INDEX([17]第３表!$F$10:$Q$66,MATCH([17]設定!$D42,[17]第３表!$C$10:$C$66,0),11),[17]設定!$I42))</f>
        <v>x</v>
      </c>
      <c r="P66" s="55" t="str">
        <f>IF($D66="","",IF([17]設定!$I42="",INDEX([17]第３表!$F$10:$Q$66,MATCH([17]設定!$D42,[17]第３表!$C$10:$C$66,0),12),[17]設定!$I42))</f>
        <v>x</v>
      </c>
    </row>
    <row r="67" spans="2:16" x14ac:dyDescent="0.45">
      <c r="B67" s="49" t="str">
        <f t="shared" si="0"/>
        <v>E15</v>
      </c>
      <c r="C67" s="50"/>
      <c r="D67" s="65" t="str">
        <f t="shared" si="1"/>
        <v>印刷・同関連業</v>
      </c>
      <c r="E67" s="52">
        <f>IF($D67="","",IF([17]設定!$I43="",INDEX([17]第３表!$F$10:$Q$66,MATCH([17]設定!$D43,[17]第３表!$C$10:$C$66,0),1),[17]設定!$I43))</f>
        <v>19.399999999999999</v>
      </c>
      <c r="F67" s="52">
        <f>IF($D67="","",IF([17]設定!$I43="",INDEX([17]第３表!$F$10:$Q$66,MATCH([17]設定!$D43,[17]第３表!$C$10:$C$66,0),2),[17]設定!$I43))</f>
        <v>155</v>
      </c>
      <c r="G67" s="52">
        <f>IF($D67="","",IF([17]設定!$I43="",INDEX([17]第３表!$F$10:$Q$66,MATCH([17]設定!$D43,[17]第３表!$C$10:$C$66,0),3),[17]設定!$I43))</f>
        <v>141.9</v>
      </c>
      <c r="H67" s="55">
        <f>IF($D67="","",IF([17]設定!$I43="",INDEX([17]第３表!$F$10:$Q$66,MATCH([17]設定!$D43,[17]第３表!$C$10:$C$66,0),4),[17]設定!$I43))</f>
        <v>13.1</v>
      </c>
      <c r="I67" s="52">
        <f>IF($D67="","",IF([17]設定!$I43="",INDEX([17]第３表!$F$10:$Q$66,MATCH([17]設定!$D43,[17]第３表!$C$10:$C$66,0),5),[17]設定!$I43))</f>
        <v>19.600000000000001</v>
      </c>
      <c r="J67" s="52">
        <f>IF($D67="","",IF([17]設定!$I43="",INDEX([17]第３表!$F$10:$Q$66,MATCH([17]設定!$D43,[17]第３表!$C$10:$C$66,0),6),[17]設定!$I43))</f>
        <v>158</v>
      </c>
      <c r="K67" s="52">
        <f>IF($D67="","",IF([17]設定!$I43="",INDEX([17]第３表!$F$10:$Q$66,MATCH([17]設定!$D43,[17]第３表!$C$10:$C$66,0),7),[17]設定!$I43))</f>
        <v>142.4</v>
      </c>
      <c r="L67" s="55">
        <f>IF($D67="","",IF([17]設定!$I43="",INDEX([17]第３表!$F$10:$Q$66,MATCH([17]設定!$D43,[17]第３表!$C$10:$C$66,0),8),[17]設定!$I43))</f>
        <v>15.6</v>
      </c>
      <c r="M67" s="52">
        <f>IF($D67="","",IF([17]設定!$I43="",INDEX([17]第３表!$F$10:$Q$66,MATCH([17]設定!$D43,[17]第３表!$C$10:$C$66,0),9),[17]設定!$I43))</f>
        <v>19</v>
      </c>
      <c r="N67" s="52">
        <f>IF($D67="","",IF([17]設定!$I43="",INDEX([17]第３表!$F$10:$Q$66,MATCH([17]設定!$D43,[17]第３表!$C$10:$C$66,0),10),[17]設定!$I43))</f>
        <v>147.6</v>
      </c>
      <c r="O67" s="52">
        <f>IF($D67="","",IF([17]設定!$I43="",INDEX([17]第３表!$F$10:$Q$66,MATCH([17]設定!$D43,[17]第３表!$C$10:$C$66,0),11),[17]設定!$I43))</f>
        <v>140.6</v>
      </c>
      <c r="P67" s="55">
        <f>IF($D67="","",IF([17]設定!$I43="",INDEX([17]第３表!$F$10:$Q$66,MATCH([17]設定!$D43,[17]第３表!$C$10:$C$66,0),12),[17]設定!$I43))</f>
        <v>7</v>
      </c>
    </row>
    <row r="68" spans="2:16" x14ac:dyDescent="0.45">
      <c r="B68" s="49" t="str">
        <f t="shared" si="0"/>
        <v>E16,17</v>
      </c>
      <c r="C68" s="50"/>
      <c r="D68" s="65" t="str">
        <f t="shared" si="1"/>
        <v>化学、石油・石炭</v>
      </c>
      <c r="E68" s="52">
        <f>IF($D68="","",IF([17]設定!$I44="",INDEX([17]第３表!$F$10:$Q$66,MATCH([17]設定!$D44,[17]第３表!$C$10:$C$66,0),1),[17]設定!$I44))</f>
        <v>19.899999999999999</v>
      </c>
      <c r="F68" s="52">
        <f>IF($D68="","",IF([17]設定!$I44="",INDEX([17]第３表!$F$10:$Q$66,MATCH([17]設定!$D44,[17]第３表!$C$10:$C$66,0),2),[17]設定!$I44))</f>
        <v>163.1</v>
      </c>
      <c r="G68" s="52">
        <f>IF($D68="","",IF([17]設定!$I44="",INDEX([17]第３表!$F$10:$Q$66,MATCH([17]設定!$D44,[17]第３表!$C$10:$C$66,0),3),[17]設定!$I44))</f>
        <v>147.4</v>
      </c>
      <c r="H68" s="55">
        <f>IF($D68="","",IF([17]設定!$I44="",INDEX([17]第３表!$F$10:$Q$66,MATCH([17]設定!$D44,[17]第３表!$C$10:$C$66,0),4),[17]設定!$I44))</f>
        <v>15.7</v>
      </c>
      <c r="I68" s="52">
        <f>IF($D68="","",IF([17]設定!$I44="",INDEX([17]第３表!$F$10:$Q$66,MATCH([17]設定!$D44,[17]第３表!$C$10:$C$66,0),5),[17]設定!$I44))</f>
        <v>19.899999999999999</v>
      </c>
      <c r="J68" s="52">
        <f>IF($D68="","",IF([17]設定!$I44="",INDEX([17]第３表!$F$10:$Q$66,MATCH([17]設定!$D44,[17]第３表!$C$10:$C$66,0),6),[17]設定!$I44))</f>
        <v>164</v>
      </c>
      <c r="K68" s="52">
        <f>IF($D68="","",IF([17]設定!$I44="",INDEX([17]第３表!$F$10:$Q$66,MATCH([17]設定!$D44,[17]第３表!$C$10:$C$66,0),7),[17]設定!$I44))</f>
        <v>147.5</v>
      </c>
      <c r="L68" s="55">
        <f>IF($D68="","",IF([17]設定!$I44="",INDEX([17]第３表!$F$10:$Q$66,MATCH([17]設定!$D44,[17]第３表!$C$10:$C$66,0),8),[17]設定!$I44))</f>
        <v>16.5</v>
      </c>
      <c r="M68" s="52">
        <f>IF($D68="","",IF([17]設定!$I44="",INDEX([17]第３表!$F$10:$Q$66,MATCH([17]設定!$D44,[17]第３表!$C$10:$C$66,0),9),[17]設定!$I44))</f>
        <v>19.600000000000001</v>
      </c>
      <c r="N68" s="52">
        <f>IF($D68="","",IF([17]設定!$I44="",INDEX([17]第３表!$F$10:$Q$66,MATCH([17]設定!$D44,[17]第３表!$C$10:$C$66,0),10),[17]設定!$I44))</f>
        <v>151.30000000000001</v>
      </c>
      <c r="O68" s="52">
        <f>IF($D68="","",IF([17]設定!$I44="",INDEX([17]第３表!$F$10:$Q$66,MATCH([17]設定!$D44,[17]第３表!$C$10:$C$66,0),11),[17]設定!$I44))</f>
        <v>146.5</v>
      </c>
      <c r="P68" s="55">
        <f>IF($D68="","",IF([17]設定!$I44="",INDEX([17]第３表!$F$10:$Q$66,MATCH([17]設定!$D44,[17]第３表!$C$10:$C$66,0),12),[17]設定!$I44))</f>
        <v>4.8</v>
      </c>
    </row>
    <row r="69" spans="2:16" x14ac:dyDescent="0.45">
      <c r="B69" s="49" t="str">
        <f t="shared" si="0"/>
        <v>E18</v>
      </c>
      <c r="C69" s="50"/>
      <c r="D69" s="65" t="str">
        <f t="shared" si="1"/>
        <v>プラスチック製品</v>
      </c>
      <c r="E69" s="52">
        <f>IF($D69="","",IF([17]設定!$I45="",INDEX([17]第３表!$F$10:$Q$66,MATCH([17]設定!$D45,[17]第３表!$C$10:$C$66,0),1),[17]設定!$I45))</f>
        <v>20.100000000000001</v>
      </c>
      <c r="F69" s="52">
        <f>IF($D69="","",IF([17]設定!$I45="",INDEX([17]第３表!$F$10:$Q$66,MATCH([17]設定!$D45,[17]第３表!$C$10:$C$66,0),2),[17]設定!$I45))</f>
        <v>150</v>
      </c>
      <c r="G69" s="52">
        <f>IF($D69="","",IF([17]設定!$I45="",INDEX([17]第３表!$F$10:$Q$66,MATCH([17]設定!$D45,[17]第３表!$C$10:$C$66,0),3),[17]設定!$I45))</f>
        <v>143</v>
      </c>
      <c r="H69" s="55">
        <f>IF($D69="","",IF([17]設定!$I45="",INDEX([17]第３表!$F$10:$Q$66,MATCH([17]設定!$D45,[17]第３表!$C$10:$C$66,0),4),[17]設定!$I45))</f>
        <v>7</v>
      </c>
      <c r="I69" s="52">
        <f>IF($D69="","",IF([17]設定!$I45="",INDEX([17]第３表!$F$10:$Q$66,MATCH([17]設定!$D45,[17]第３表!$C$10:$C$66,0),5),[17]設定!$I45))</f>
        <v>20.399999999999999</v>
      </c>
      <c r="J69" s="52">
        <f>IF($D69="","",IF([17]設定!$I45="",INDEX([17]第３表!$F$10:$Q$66,MATCH([17]設定!$D45,[17]第３表!$C$10:$C$66,0),6),[17]設定!$I45))</f>
        <v>164.8</v>
      </c>
      <c r="K69" s="52">
        <f>IF($D69="","",IF([17]設定!$I45="",INDEX([17]第３表!$F$10:$Q$66,MATCH([17]設定!$D45,[17]第３表!$C$10:$C$66,0),7),[17]設定!$I45))</f>
        <v>154.80000000000001</v>
      </c>
      <c r="L69" s="55">
        <f>IF($D69="","",IF([17]設定!$I45="",INDEX([17]第３表!$F$10:$Q$66,MATCH([17]設定!$D45,[17]第３表!$C$10:$C$66,0),8),[17]設定!$I45))</f>
        <v>10</v>
      </c>
      <c r="M69" s="52">
        <f>IF($D69="","",IF([17]設定!$I45="",INDEX([17]第３表!$F$10:$Q$66,MATCH([17]設定!$D45,[17]第３表!$C$10:$C$66,0),9),[17]設定!$I45))</f>
        <v>19.5</v>
      </c>
      <c r="N69" s="52">
        <f>IF($D69="","",IF([17]設定!$I45="",INDEX([17]第３表!$F$10:$Q$66,MATCH([17]設定!$D45,[17]第３表!$C$10:$C$66,0),10),[17]設定!$I45))</f>
        <v>120.3</v>
      </c>
      <c r="O69" s="52">
        <f>IF($D69="","",IF([17]設定!$I45="",INDEX([17]第３表!$F$10:$Q$66,MATCH([17]設定!$D45,[17]第３表!$C$10:$C$66,0),11),[17]設定!$I45))</f>
        <v>119.4</v>
      </c>
      <c r="P69" s="55">
        <f>IF($D69="","",IF([17]設定!$I45="",INDEX([17]第３表!$F$10:$Q$66,MATCH([17]設定!$D45,[17]第３表!$C$10:$C$66,0),12),[17]設定!$I45))</f>
        <v>0.9</v>
      </c>
    </row>
    <row r="70" spans="2:16" x14ac:dyDescent="0.45">
      <c r="B70" s="49" t="str">
        <f t="shared" si="0"/>
        <v>E19</v>
      </c>
      <c r="C70" s="50"/>
      <c r="D70" s="65" t="str">
        <f t="shared" si="1"/>
        <v>ゴム製品</v>
      </c>
      <c r="E70" s="52">
        <f>IF($D70="","",IF([17]設定!$I46="",INDEX([17]第３表!$F$10:$Q$66,MATCH([17]設定!$D46,[17]第３表!$C$10:$C$66,0),1),[17]設定!$I46))</f>
        <v>20.5</v>
      </c>
      <c r="F70" s="52">
        <f>IF($D70="","",IF([17]設定!$I46="",INDEX([17]第３表!$F$10:$Q$66,MATCH([17]設定!$D46,[17]第３表!$C$10:$C$66,0),2),[17]設定!$I46))</f>
        <v>175.3</v>
      </c>
      <c r="G70" s="52">
        <f>IF($D70="","",IF([17]設定!$I46="",INDEX([17]第３表!$F$10:$Q$66,MATCH([17]設定!$D46,[17]第３表!$C$10:$C$66,0),3),[17]設定!$I46))</f>
        <v>150.9</v>
      </c>
      <c r="H70" s="55">
        <f>IF($D70="","",IF([17]設定!$I46="",INDEX([17]第３表!$F$10:$Q$66,MATCH([17]設定!$D46,[17]第３表!$C$10:$C$66,0),4),[17]設定!$I46))</f>
        <v>24.4</v>
      </c>
      <c r="I70" s="52">
        <f>IF($D70="","",IF([17]設定!$I46="",INDEX([17]第３表!$F$10:$Q$66,MATCH([17]設定!$D46,[17]第３表!$C$10:$C$66,0),5),[17]設定!$I46))</f>
        <v>20.6</v>
      </c>
      <c r="J70" s="52">
        <f>IF($D70="","",IF([17]設定!$I46="",INDEX([17]第３表!$F$10:$Q$66,MATCH([17]設定!$D46,[17]第３表!$C$10:$C$66,0),6),[17]設定!$I46))</f>
        <v>176.8</v>
      </c>
      <c r="K70" s="52">
        <f>IF($D70="","",IF([17]設定!$I46="",INDEX([17]第３表!$F$10:$Q$66,MATCH([17]設定!$D46,[17]第３表!$C$10:$C$66,0),7),[17]設定!$I46))</f>
        <v>150.30000000000001</v>
      </c>
      <c r="L70" s="55">
        <f>IF($D70="","",IF([17]設定!$I46="",INDEX([17]第３表!$F$10:$Q$66,MATCH([17]設定!$D46,[17]第３表!$C$10:$C$66,0),8),[17]設定!$I46))</f>
        <v>26.5</v>
      </c>
      <c r="M70" s="52">
        <f>IF($D70="","",IF([17]設定!$I46="",INDEX([17]第３表!$F$10:$Q$66,MATCH([17]設定!$D46,[17]第３表!$C$10:$C$66,0),9),[17]設定!$I46))</f>
        <v>20.2</v>
      </c>
      <c r="N70" s="52">
        <f>IF($D70="","",IF([17]設定!$I46="",INDEX([17]第３表!$F$10:$Q$66,MATCH([17]設定!$D46,[17]第３表!$C$10:$C$66,0),10),[17]設定!$I46))</f>
        <v>165.5</v>
      </c>
      <c r="O70" s="52">
        <f>IF($D70="","",IF([17]設定!$I46="",INDEX([17]第３表!$F$10:$Q$66,MATCH([17]設定!$D46,[17]第３表!$C$10:$C$66,0),11),[17]設定!$I46))</f>
        <v>155</v>
      </c>
      <c r="P70" s="55">
        <f>IF($D70="","",IF([17]設定!$I46="",INDEX([17]第３表!$F$10:$Q$66,MATCH([17]設定!$D46,[17]第３表!$C$10:$C$66,0),12),[17]設定!$I46))</f>
        <v>10.5</v>
      </c>
    </row>
    <row r="71" spans="2:16" x14ac:dyDescent="0.45">
      <c r="B71" s="49" t="str">
        <f t="shared" si="0"/>
        <v>E21</v>
      </c>
      <c r="C71" s="50"/>
      <c r="D71" s="65" t="str">
        <f t="shared" si="1"/>
        <v>窯業・土石製品</v>
      </c>
      <c r="E71" s="52">
        <f>IF($D71="","",IF([17]設定!$I47="",INDEX([17]第３表!$F$10:$Q$66,MATCH([17]設定!$D47,[17]第３表!$C$10:$C$66,0),1),[17]設定!$I47))</f>
        <v>20.3</v>
      </c>
      <c r="F71" s="52">
        <f>IF($D71="","",IF([17]設定!$I47="",INDEX([17]第３表!$F$10:$Q$66,MATCH([17]設定!$D47,[17]第３表!$C$10:$C$66,0),2),[17]設定!$I47))</f>
        <v>159.69999999999999</v>
      </c>
      <c r="G71" s="52">
        <f>IF($D71="","",IF([17]設定!$I47="",INDEX([17]第３表!$F$10:$Q$66,MATCH([17]設定!$D47,[17]第３表!$C$10:$C$66,0),3),[17]設定!$I47))</f>
        <v>152.30000000000001</v>
      </c>
      <c r="H71" s="55">
        <f>IF($D71="","",IF([17]設定!$I47="",INDEX([17]第３表!$F$10:$Q$66,MATCH([17]設定!$D47,[17]第３表!$C$10:$C$66,0),4),[17]設定!$I47))</f>
        <v>7.4</v>
      </c>
      <c r="I71" s="52">
        <f>IF($D71="","",IF([17]設定!$I47="",INDEX([17]第３表!$F$10:$Q$66,MATCH([17]設定!$D47,[17]第３表!$C$10:$C$66,0),5),[17]設定!$I47))</f>
        <v>20.7</v>
      </c>
      <c r="J71" s="52">
        <f>IF($D71="","",IF([17]設定!$I47="",INDEX([17]第３表!$F$10:$Q$66,MATCH([17]設定!$D47,[17]第３表!$C$10:$C$66,0),6),[17]設定!$I47))</f>
        <v>168</v>
      </c>
      <c r="K71" s="52">
        <f>IF($D71="","",IF([17]設定!$I47="",INDEX([17]第３表!$F$10:$Q$66,MATCH([17]設定!$D47,[17]第３表!$C$10:$C$66,0),7),[17]設定!$I47))</f>
        <v>158.6</v>
      </c>
      <c r="L71" s="55">
        <f>IF($D71="","",IF([17]設定!$I47="",INDEX([17]第３表!$F$10:$Q$66,MATCH([17]設定!$D47,[17]第３表!$C$10:$C$66,0),8),[17]設定!$I47))</f>
        <v>9.4</v>
      </c>
      <c r="M71" s="52">
        <f>IF($D71="","",IF([17]設定!$I47="",INDEX([17]第３表!$F$10:$Q$66,MATCH([17]設定!$D47,[17]第３表!$C$10:$C$66,0),9),[17]設定!$I47))</f>
        <v>19.2</v>
      </c>
      <c r="N71" s="52">
        <f>IF($D71="","",IF([17]設定!$I47="",INDEX([17]第３表!$F$10:$Q$66,MATCH([17]設定!$D47,[17]第３表!$C$10:$C$66,0),10),[17]設定!$I47))</f>
        <v>131.30000000000001</v>
      </c>
      <c r="O71" s="52">
        <f>IF($D71="","",IF([17]設定!$I47="",INDEX([17]第３表!$F$10:$Q$66,MATCH([17]設定!$D47,[17]第３表!$C$10:$C$66,0),11),[17]設定!$I47))</f>
        <v>130.6</v>
      </c>
      <c r="P71" s="55">
        <f>IF($D71="","",IF([17]設定!$I47="",INDEX([17]第３表!$F$10:$Q$66,MATCH([17]設定!$D47,[17]第３表!$C$10:$C$66,0),12),[17]設定!$I47))</f>
        <v>0.7</v>
      </c>
    </row>
    <row r="72" spans="2:16" x14ac:dyDescent="0.45">
      <c r="B72" s="49" t="str">
        <f t="shared" si="0"/>
        <v>E24</v>
      </c>
      <c r="C72" s="50"/>
      <c r="D72" s="65" t="str">
        <f t="shared" si="1"/>
        <v>金属製品製造業</v>
      </c>
      <c r="E72" s="55">
        <f>IF($D72="","",IF([17]設定!$I48="",INDEX([17]第３表!$F$10:$Q$66,MATCH([17]設定!$D48,[17]第３表!$C$10:$C$66,0),1),[17]設定!$I48))</f>
        <v>19.8</v>
      </c>
      <c r="F72" s="55">
        <f>IF($D72="","",IF([17]設定!$I48="",INDEX([17]第３表!$F$10:$Q$66,MATCH([17]設定!$D48,[17]第３表!$C$10:$C$66,0),2),[17]設定!$I48))</f>
        <v>163.5</v>
      </c>
      <c r="G72" s="55">
        <f>IF($D72="","",IF([17]設定!$I48="",INDEX([17]第３表!$F$10:$Q$66,MATCH([17]設定!$D48,[17]第３表!$C$10:$C$66,0),3),[17]設定!$I48))</f>
        <v>156.19999999999999</v>
      </c>
      <c r="H72" s="55">
        <f>IF($D72="","",IF([17]設定!$I48="",INDEX([17]第３表!$F$10:$Q$66,MATCH([17]設定!$D48,[17]第３表!$C$10:$C$66,0),4),[17]設定!$I48))</f>
        <v>7.3</v>
      </c>
      <c r="I72" s="55">
        <f>IF($D72="","",IF([17]設定!$I48="",INDEX([17]第３表!$F$10:$Q$66,MATCH([17]設定!$D48,[17]第３表!$C$10:$C$66,0),5),[17]設定!$I48))</f>
        <v>19.899999999999999</v>
      </c>
      <c r="J72" s="55">
        <f>IF($D72="","",IF([17]設定!$I48="",INDEX([17]第３表!$F$10:$Q$66,MATCH([17]設定!$D48,[17]第３表!$C$10:$C$66,0),6),[17]設定!$I48))</f>
        <v>168.4</v>
      </c>
      <c r="K72" s="55">
        <f>IF($D72="","",IF([17]設定!$I48="",INDEX([17]第３表!$F$10:$Q$66,MATCH([17]設定!$D48,[17]第３表!$C$10:$C$66,0),7),[17]設定!$I48))</f>
        <v>159.19999999999999</v>
      </c>
      <c r="L72" s="55">
        <f>IF($D72="","",IF([17]設定!$I48="",INDEX([17]第３表!$F$10:$Q$66,MATCH([17]設定!$D48,[17]第３表!$C$10:$C$66,0),8),[17]設定!$I48))</f>
        <v>9.1999999999999993</v>
      </c>
      <c r="M72" s="55">
        <f>IF($D72="","",IF([17]設定!$I48="",INDEX([17]第３表!$F$10:$Q$66,MATCH([17]設定!$D48,[17]第３表!$C$10:$C$66,0),9),[17]設定!$I48))</f>
        <v>19.3</v>
      </c>
      <c r="N72" s="55">
        <f>IF($D72="","",IF([17]設定!$I48="",INDEX([17]第３表!$F$10:$Q$66,MATCH([17]設定!$D48,[17]第３表!$C$10:$C$66,0),10),[17]設定!$I48))</f>
        <v>149.69999999999999</v>
      </c>
      <c r="O72" s="55">
        <f>IF($D72="","",IF([17]設定!$I48="",INDEX([17]第３表!$F$10:$Q$66,MATCH([17]設定!$D48,[17]第３表!$C$10:$C$66,0),11),[17]設定!$I48))</f>
        <v>147.69999999999999</v>
      </c>
      <c r="P72" s="55">
        <f>IF($D72="","",IF([17]設定!$I48="",INDEX([17]第３表!$F$10:$Q$66,MATCH([17]設定!$D48,[17]第３表!$C$10:$C$66,0),12),[17]設定!$I48))</f>
        <v>2</v>
      </c>
    </row>
    <row r="73" spans="2:16" x14ac:dyDescent="0.45">
      <c r="B73" s="49" t="str">
        <f t="shared" si="0"/>
        <v>E27</v>
      </c>
      <c r="C73" s="50"/>
      <c r="D73" s="65" t="str">
        <f t="shared" si="1"/>
        <v>業務用機械器具</v>
      </c>
      <c r="E73" s="55">
        <f>IF($D73="","",IF([17]設定!$I49="",INDEX([17]第３表!$F$10:$Q$66,MATCH([17]設定!$D49,[17]第３表!$C$10:$C$66,0),1),[17]設定!$I49))</f>
        <v>18.899999999999999</v>
      </c>
      <c r="F73" s="55">
        <f>IF($D73="","",IF([17]設定!$I49="",INDEX([17]第３表!$F$10:$Q$66,MATCH([17]設定!$D49,[17]第３表!$C$10:$C$66,0),2),[17]設定!$I49))</f>
        <v>158.5</v>
      </c>
      <c r="G73" s="55">
        <f>IF($D73="","",IF([17]設定!$I49="",INDEX([17]第３表!$F$10:$Q$66,MATCH([17]設定!$D49,[17]第３表!$C$10:$C$66,0),3),[17]設定!$I49))</f>
        <v>149</v>
      </c>
      <c r="H73" s="55">
        <f>IF($D73="","",IF([17]設定!$I49="",INDEX([17]第３表!$F$10:$Q$66,MATCH([17]設定!$D49,[17]第３表!$C$10:$C$66,0),4),[17]設定!$I49))</f>
        <v>9.5</v>
      </c>
      <c r="I73" s="55">
        <f>IF($D73="","",IF([17]設定!$I49="",INDEX([17]第３表!$F$10:$Q$66,MATCH([17]設定!$D49,[17]第３表!$C$10:$C$66,0),5),[17]設定!$I49))</f>
        <v>19</v>
      </c>
      <c r="J73" s="55">
        <f>IF($D73="","",IF([17]設定!$I49="",INDEX([17]第３表!$F$10:$Q$66,MATCH([17]設定!$D49,[17]第３表!$C$10:$C$66,0),6),[17]設定!$I49))</f>
        <v>159.4</v>
      </c>
      <c r="K73" s="55">
        <f>IF($D73="","",IF([17]設定!$I49="",INDEX([17]第３表!$F$10:$Q$66,MATCH([17]設定!$D49,[17]第３表!$C$10:$C$66,0),7),[17]設定!$I49))</f>
        <v>148.4</v>
      </c>
      <c r="L73" s="55">
        <f>IF($D73="","",IF([17]設定!$I49="",INDEX([17]第３表!$F$10:$Q$66,MATCH([17]設定!$D49,[17]第３表!$C$10:$C$66,0),8),[17]設定!$I49))</f>
        <v>11</v>
      </c>
      <c r="M73" s="55">
        <f>IF($D73="","",IF([17]設定!$I49="",INDEX([17]第３表!$F$10:$Q$66,MATCH([17]設定!$D49,[17]第３表!$C$10:$C$66,0),9),[17]設定!$I49))</f>
        <v>18.8</v>
      </c>
      <c r="N73" s="55">
        <f>IF($D73="","",IF([17]設定!$I49="",INDEX([17]第３表!$F$10:$Q$66,MATCH([17]設定!$D49,[17]第３表!$C$10:$C$66,0),10),[17]設定!$I49))</f>
        <v>157.80000000000001</v>
      </c>
      <c r="O73" s="55">
        <f>IF($D73="","",IF([17]設定!$I49="",INDEX([17]第３表!$F$10:$Q$66,MATCH([17]設定!$D49,[17]第３表!$C$10:$C$66,0),11),[17]設定!$I49))</f>
        <v>149.69999999999999</v>
      </c>
      <c r="P73" s="55">
        <f>IF($D73="","",IF([17]設定!$I49="",INDEX([17]第３表!$F$10:$Q$66,MATCH([17]設定!$D49,[17]第３表!$C$10:$C$66,0),12),[17]設定!$I49))</f>
        <v>8.1</v>
      </c>
    </row>
    <row r="74" spans="2:16" x14ac:dyDescent="0.45">
      <c r="B74" s="49" t="str">
        <f t="shared" si="0"/>
        <v>E28</v>
      </c>
      <c r="C74" s="50"/>
      <c r="D74" s="65" t="str">
        <f t="shared" si="1"/>
        <v>電子・デバイス</v>
      </c>
      <c r="E74" s="55">
        <f>IF($D74="","",IF([17]設定!$I50="",INDEX([17]第３表!$F$10:$Q$66,MATCH([17]設定!$D50,[17]第３表!$C$10:$C$66,0),1),[17]設定!$I50))</f>
        <v>17.899999999999999</v>
      </c>
      <c r="F74" s="55">
        <f>IF($D74="","",IF([17]設定!$I50="",INDEX([17]第３表!$F$10:$Q$66,MATCH([17]設定!$D50,[17]第３表!$C$10:$C$66,0),2),[17]設定!$I50))</f>
        <v>153.30000000000001</v>
      </c>
      <c r="G74" s="55">
        <f>IF($D74="","",IF([17]設定!$I50="",INDEX([17]第３表!$F$10:$Q$66,MATCH([17]設定!$D50,[17]第３表!$C$10:$C$66,0),3),[17]設定!$I50))</f>
        <v>139.9</v>
      </c>
      <c r="H74" s="55">
        <f>IF($D74="","",IF([17]設定!$I50="",INDEX([17]第３表!$F$10:$Q$66,MATCH([17]設定!$D50,[17]第３表!$C$10:$C$66,0),4),[17]設定!$I50))</f>
        <v>13.4</v>
      </c>
      <c r="I74" s="55">
        <f>IF($D74="","",IF([17]設定!$I50="",INDEX([17]第３表!$F$10:$Q$66,MATCH([17]設定!$D50,[17]第３表!$C$10:$C$66,0),5),[17]設定!$I50))</f>
        <v>18.100000000000001</v>
      </c>
      <c r="J74" s="55">
        <f>IF($D74="","",IF([17]設定!$I50="",INDEX([17]第３表!$F$10:$Q$66,MATCH([17]設定!$D50,[17]第３表!$C$10:$C$66,0),6),[17]設定!$I50))</f>
        <v>161.1</v>
      </c>
      <c r="K74" s="55">
        <f>IF($D74="","",IF([17]設定!$I50="",INDEX([17]第３表!$F$10:$Q$66,MATCH([17]設定!$D50,[17]第３表!$C$10:$C$66,0),7),[17]設定!$I50))</f>
        <v>144.30000000000001</v>
      </c>
      <c r="L74" s="55">
        <f>IF($D74="","",IF([17]設定!$I50="",INDEX([17]第３表!$F$10:$Q$66,MATCH([17]設定!$D50,[17]第３表!$C$10:$C$66,0),8),[17]設定!$I50))</f>
        <v>16.8</v>
      </c>
      <c r="M74" s="55">
        <f>IF($D74="","",IF([17]設定!$I50="",INDEX([17]第３表!$F$10:$Q$66,MATCH([17]設定!$D50,[17]第３表!$C$10:$C$66,0),9),[17]設定!$I50))</f>
        <v>17.5</v>
      </c>
      <c r="N74" s="55">
        <f>IF($D74="","",IF([17]設定!$I50="",INDEX([17]第３表!$F$10:$Q$66,MATCH([17]設定!$D50,[17]第３表!$C$10:$C$66,0),10),[17]設定!$I50))</f>
        <v>138.5</v>
      </c>
      <c r="O74" s="55">
        <f>IF($D74="","",IF([17]設定!$I50="",INDEX([17]第３表!$F$10:$Q$66,MATCH([17]設定!$D50,[17]第３表!$C$10:$C$66,0),11),[17]設定!$I50))</f>
        <v>131.6</v>
      </c>
      <c r="P74" s="55">
        <f>IF($D74="","",IF([17]設定!$I50="",INDEX([17]第３表!$F$10:$Q$66,MATCH([17]設定!$D50,[17]第３表!$C$10:$C$66,0),12),[17]設定!$I50))</f>
        <v>6.9</v>
      </c>
    </row>
    <row r="75" spans="2:16" x14ac:dyDescent="0.45">
      <c r="B75" s="49" t="str">
        <f t="shared" si="0"/>
        <v>E29</v>
      </c>
      <c r="C75" s="50"/>
      <c r="D75" s="65" t="str">
        <f t="shared" si="1"/>
        <v>電気機械器具</v>
      </c>
      <c r="E75" s="55">
        <f>IF($D75="","",IF([17]設定!$I51="",INDEX([17]第３表!$F$10:$Q$66,MATCH([17]設定!$D51,[17]第３表!$C$10:$C$66,0),1),[17]設定!$I51))</f>
        <v>20.3</v>
      </c>
      <c r="F75" s="55">
        <f>IF($D75="","",IF([17]設定!$I51="",INDEX([17]第３表!$F$10:$Q$66,MATCH([17]設定!$D51,[17]第３表!$C$10:$C$66,0),2),[17]設定!$I51))</f>
        <v>164.7</v>
      </c>
      <c r="G75" s="55">
        <f>IF($D75="","",IF([17]設定!$I51="",INDEX([17]第３表!$F$10:$Q$66,MATCH([17]設定!$D51,[17]第３表!$C$10:$C$66,0),3),[17]設定!$I51))</f>
        <v>157.1</v>
      </c>
      <c r="H75" s="55">
        <f>IF($D75="","",IF([17]設定!$I51="",INDEX([17]第３表!$F$10:$Q$66,MATCH([17]設定!$D51,[17]第３表!$C$10:$C$66,0),4),[17]設定!$I51))</f>
        <v>7.6</v>
      </c>
      <c r="I75" s="55">
        <f>IF($D75="","",IF([17]設定!$I51="",INDEX([17]第３表!$F$10:$Q$66,MATCH([17]設定!$D51,[17]第３表!$C$10:$C$66,0),5),[17]設定!$I51))</f>
        <v>20.3</v>
      </c>
      <c r="J75" s="55">
        <f>IF($D75="","",IF([17]設定!$I51="",INDEX([17]第３表!$F$10:$Q$66,MATCH([17]設定!$D51,[17]第３表!$C$10:$C$66,0),6),[17]設定!$I51))</f>
        <v>167.3</v>
      </c>
      <c r="K75" s="55">
        <f>IF($D75="","",IF([17]設定!$I51="",INDEX([17]第３表!$F$10:$Q$66,MATCH([17]設定!$D51,[17]第３表!$C$10:$C$66,0),7),[17]設定!$I51))</f>
        <v>158.1</v>
      </c>
      <c r="L75" s="55">
        <f>IF($D75="","",IF([17]設定!$I51="",INDEX([17]第３表!$F$10:$Q$66,MATCH([17]設定!$D51,[17]第３表!$C$10:$C$66,0),8),[17]設定!$I51))</f>
        <v>9.1999999999999993</v>
      </c>
      <c r="M75" s="55">
        <f>IF($D75="","",IF([17]設定!$I51="",INDEX([17]第３表!$F$10:$Q$66,MATCH([17]設定!$D51,[17]第３表!$C$10:$C$66,0),9),[17]設定!$I51))</f>
        <v>20.5</v>
      </c>
      <c r="N75" s="55">
        <f>IF($D75="","",IF([17]設定!$I51="",INDEX([17]第３表!$F$10:$Q$66,MATCH([17]設定!$D51,[17]第３表!$C$10:$C$66,0),10),[17]設定!$I51))</f>
        <v>159.30000000000001</v>
      </c>
      <c r="O75" s="55">
        <f>IF($D75="","",IF([17]設定!$I51="",INDEX([17]第３表!$F$10:$Q$66,MATCH([17]設定!$D51,[17]第３表!$C$10:$C$66,0),11),[17]設定!$I51))</f>
        <v>155</v>
      </c>
      <c r="P75" s="55">
        <f>IF($D75="","",IF([17]設定!$I51="",INDEX([17]第３表!$F$10:$Q$66,MATCH([17]設定!$D51,[17]第３表!$C$10:$C$66,0),12),[17]設定!$I51))</f>
        <v>4.3</v>
      </c>
    </row>
    <row r="76" spans="2:16" x14ac:dyDescent="0.45">
      <c r="B76" s="49" t="str">
        <f t="shared" si="0"/>
        <v>E31</v>
      </c>
      <c r="C76" s="50"/>
      <c r="D76" s="65" t="str">
        <f t="shared" si="1"/>
        <v>輸送用機械器具</v>
      </c>
      <c r="E76" s="55">
        <f>IF($D76="","",IF([17]設定!$I52="",INDEX([17]第３表!$F$10:$Q$66,MATCH([17]設定!$D52,[17]第３表!$C$10:$C$66,0),1),[17]設定!$I52))</f>
        <v>19.2</v>
      </c>
      <c r="F76" s="55">
        <f>IF($D76="","",IF([17]設定!$I52="",INDEX([17]第３表!$F$10:$Q$66,MATCH([17]設定!$D52,[17]第３表!$C$10:$C$66,0),2),[17]設定!$I52))</f>
        <v>183</v>
      </c>
      <c r="G76" s="55">
        <f>IF($D76="","",IF([17]設定!$I52="",INDEX([17]第３表!$F$10:$Q$66,MATCH([17]設定!$D52,[17]第３表!$C$10:$C$66,0),3),[17]設定!$I52))</f>
        <v>154.69999999999999</v>
      </c>
      <c r="H76" s="55">
        <f>IF($D76="","",IF([17]設定!$I52="",INDEX([17]第３表!$F$10:$Q$66,MATCH([17]設定!$D52,[17]第３表!$C$10:$C$66,0),4),[17]設定!$I52))</f>
        <v>28.3</v>
      </c>
      <c r="I76" s="55">
        <f>IF($D76="","",IF([17]設定!$I52="",INDEX([17]第３表!$F$10:$Q$66,MATCH([17]設定!$D52,[17]第３表!$C$10:$C$66,0),5),[17]設定!$I52))</f>
        <v>19.2</v>
      </c>
      <c r="J76" s="55">
        <f>IF($D76="","",IF([17]設定!$I52="",INDEX([17]第３表!$F$10:$Q$66,MATCH([17]設定!$D52,[17]第３表!$C$10:$C$66,0),6),[17]設定!$I52))</f>
        <v>186.2</v>
      </c>
      <c r="K76" s="55">
        <f>IF($D76="","",IF([17]設定!$I52="",INDEX([17]第３表!$F$10:$Q$66,MATCH([17]設定!$D52,[17]第３表!$C$10:$C$66,0),7),[17]設定!$I52))</f>
        <v>156</v>
      </c>
      <c r="L76" s="55">
        <f>IF($D76="","",IF([17]設定!$I52="",INDEX([17]第３表!$F$10:$Q$66,MATCH([17]設定!$D52,[17]第３表!$C$10:$C$66,0),8),[17]設定!$I52))</f>
        <v>30.2</v>
      </c>
      <c r="M76" s="55">
        <f>IF($D76="","",IF([17]設定!$I52="",INDEX([17]第３表!$F$10:$Q$66,MATCH([17]設定!$D52,[17]第３表!$C$10:$C$66,0),9),[17]設定!$I52))</f>
        <v>19.3</v>
      </c>
      <c r="N76" s="55">
        <f>IF($D76="","",IF([17]設定!$I52="",INDEX([17]第３表!$F$10:$Q$66,MATCH([17]設定!$D52,[17]第３表!$C$10:$C$66,0),10),[17]設定!$I52))</f>
        <v>169.2</v>
      </c>
      <c r="O76" s="55">
        <f>IF($D76="","",IF([17]設定!$I52="",INDEX([17]第３表!$F$10:$Q$66,MATCH([17]設定!$D52,[17]第３表!$C$10:$C$66,0),11),[17]設定!$I52))</f>
        <v>148.80000000000001</v>
      </c>
      <c r="P76" s="55">
        <f>IF($D76="","",IF([17]設定!$I52="",INDEX([17]第３表!$F$10:$Q$66,MATCH([17]設定!$D52,[17]第３表!$C$10:$C$66,0),12),[17]設定!$I52))</f>
        <v>20.399999999999999</v>
      </c>
    </row>
    <row r="77" spans="2:16" x14ac:dyDescent="0.45">
      <c r="B77" s="66" t="str">
        <f t="shared" si="0"/>
        <v>ES</v>
      </c>
      <c r="C77" s="67"/>
      <c r="D77" s="68" t="str">
        <f t="shared" si="1"/>
        <v>はん用・生産用機械器具</v>
      </c>
      <c r="E77" s="69">
        <f>IF($D77="","",IF([17]設定!$I53="",INDEX([17]第３表!$F$10:$Q$66,MATCH([17]設定!$D53,[17]第３表!$C$10:$C$66,0),1),[17]設定!$I53))</f>
        <v>19.8</v>
      </c>
      <c r="F77" s="69">
        <f>IF($D77="","",IF([17]設定!$I53="",INDEX([17]第３表!$F$10:$Q$66,MATCH([17]設定!$D53,[17]第３表!$C$10:$C$66,0),2),[17]設定!$I53))</f>
        <v>170.8</v>
      </c>
      <c r="G77" s="69">
        <f>IF($D77="","",IF([17]設定!$I53="",INDEX([17]第３表!$F$10:$Q$66,MATCH([17]設定!$D53,[17]第３表!$C$10:$C$66,0),3),[17]設定!$I53))</f>
        <v>157</v>
      </c>
      <c r="H77" s="69">
        <f>IF($D77="","",IF([17]設定!$I53="",INDEX([17]第３表!$F$10:$Q$66,MATCH([17]設定!$D53,[17]第３表!$C$10:$C$66,0),4),[17]設定!$I53))</f>
        <v>13.8</v>
      </c>
      <c r="I77" s="69">
        <f>IF($D77="","",IF([17]設定!$I53="",INDEX([17]第３表!$F$10:$Q$66,MATCH([17]設定!$D53,[17]第３表!$C$10:$C$66,0),5),[17]設定!$I53))</f>
        <v>20</v>
      </c>
      <c r="J77" s="69">
        <f>IF($D77="","",IF([17]設定!$I53="",INDEX([17]第３表!$F$10:$Q$66,MATCH([17]設定!$D53,[17]第３表!$C$10:$C$66,0),6),[17]設定!$I53))</f>
        <v>174.5</v>
      </c>
      <c r="K77" s="69">
        <f>IF($D77="","",IF([17]設定!$I53="",INDEX([17]第３表!$F$10:$Q$66,MATCH([17]設定!$D53,[17]第３表!$C$10:$C$66,0),7),[17]設定!$I53))</f>
        <v>158.9</v>
      </c>
      <c r="L77" s="69">
        <f>IF($D77="","",IF([17]設定!$I53="",INDEX([17]第３表!$F$10:$Q$66,MATCH([17]設定!$D53,[17]第３表!$C$10:$C$66,0),8),[17]設定!$I53))</f>
        <v>15.6</v>
      </c>
      <c r="M77" s="69">
        <f>IF($D77="","",IF([17]設定!$I53="",INDEX([17]第３表!$F$10:$Q$66,MATCH([17]設定!$D53,[17]第３表!$C$10:$C$66,0),9),[17]設定!$I53))</f>
        <v>19.100000000000001</v>
      </c>
      <c r="N77" s="69">
        <f>IF($D77="","",IF([17]設定!$I53="",INDEX([17]第３表!$F$10:$Q$66,MATCH([17]設定!$D53,[17]第３表!$C$10:$C$66,0),10),[17]設定!$I53))</f>
        <v>159</v>
      </c>
      <c r="O77" s="69">
        <f>IF($D77="","",IF([17]設定!$I53="",INDEX([17]第３表!$F$10:$Q$66,MATCH([17]設定!$D53,[17]第３表!$C$10:$C$66,0),11),[17]設定!$I53))</f>
        <v>151</v>
      </c>
      <c r="P77" s="69">
        <f>IF($D77="","",IF([17]設定!$I53="",INDEX([17]第３表!$F$10:$Q$66,MATCH([17]設定!$D53,[17]第３表!$C$10:$C$66,0),12),[17]設定!$I53))</f>
        <v>8</v>
      </c>
    </row>
    <row r="78" spans="2:16" x14ac:dyDescent="0.45">
      <c r="B78" s="70" t="str">
        <f t="shared" si="0"/>
        <v>R91</v>
      </c>
      <c r="C78" s="71"/>
      <c r="D78" s="72" t="str">
        <f t="shared" si="1"/>
        <v>職業紹介・労働者派遣業</v>
      </c>
      <c r="E78" s="73">
        <f>IF($D78="","",IF([17]設定!$I54="",INDEX([17]第３表!$F$10:$Q$66,MATCH([17]設定!$D54,[17]第３表!$C$10:$C$66,0),1),[17]設定!$I54))</f>
        <v>18.899999999999999</v>
      </c>
      <c r="F78" s="73">
        <f>IF($D78="","",IF([17]設定!$I54="",INDEX([17]第３表!$F$10:$Q$66,MATCH([17]設定!$D54,[17]第３表!$C$10:$C$66,0),2),[17]設定!$I54))</f>
        <v>153.9</v>
      </c>
      <c r="G78" s="73">
        <f>IF($D78="","",IF([17]設定!$I54="",INDEX([17]第３表!$F$10:$Q$66,MATCH([17]設定!$D54,[17]第３表!$C$10:$C$66,0),3),[17]設定!$I54))</f>
        <v>145.1</v>
      </c>
      <c r="H78" s="73">
        <f>IF($D78="","",IF([17]設定!$I54="",INDEX([17]第３表!$F$10:$Q$66,MATCH([17]設定!$D54,[17]第３表!$C$10:$C$66,0),4),[17]設定!$I54))</f>
        <v>8.8000000000000007</v>
      </c>
      <c r="I78" s="73">
        <f>IF($D78="","",IF([17]設定!$I54="",INDEX([17]第３表!$F$10:$Q$66,MATCH([17]設定!$D54,[17]第３表!$C$10:$C$66,0),5),[17]設定!$I54))</f>
        <v>18.899999999999999</v>
      </c>
      <c r="J78" s="73">
        <f>IF($D78="","",IF([17]設定!$I54="",INDEX([17]第３表!$F$10:$Q$66,MATCH([17]設定!$D54,[17]第３表!$C$10:$C$66,0),6),[17]設定!$I54))</f>
        <v>165.3</v>
      </c>
      <c r="K78" s="73">
        <f>IF($D78="","",IF([17]設定!$I54="",INDEX([17]第３表!$F$10:$Q$66,MATCH([17]設定!$D54,[17]第３表!$C$10:$C$66,0),7),[17]設定!$I54))</f>
        <v>151.6</v>
      </c>
      <c r="L78" s="73">
        <f>IF($D78="","",IF([17]設定!$I54="",INDEX([17]第３表!$F$10:$Q$66,MATCH([17]設定!$D54,[17]第３表!$C$10:$C$66,0),8),[17]設定!$I54))</f>
        <v>13.7</v>
      </c>
      <c r="M78" s="73">
        <f>IF($D78="","",IF([17]設定!$I54="",INDEX([17]第３表!$F$10:$Q$66,MATCH([17]設定!$D54,[17]第３表!$C$10:$C$66,0),9),[17]設定!$I54))</f>
        <v>18.899999999999999</v>
      </c>
      <c r="N78" s="73">
        <f>IF($D78="","",IF([17]設定!$I54="",INDEX([17]第３表!$F$10:$Q$66,MATCH([17]設定!$D54,[17]第３表!$C$10:$C$66,0),10),[17]設定!$I54))</f>
        <v>145.1</v>
      </c>
      <c r="O78" s="73">
        <f>IF($D78="","",IF([17]設定!$I54="",INDEX([17]第３表!$F$10:$Q$66,MATCH([17]設定!$D54,[17]第３表!$C$10:$C$66,0),11),[17]設定!$I54))</f>
        <v>140.1</v>
      </c>
      <c r="P78" s="73">
        <f>IF($D78="","",IF([17]設定!$I54="",INDEX([17]第３表!$F$10:$Q$66,MATCH([17]設定!$D54,[17]第３表!$C$10:$C$66,0),12),[17]設定!$I54))</f>
        <v>5</v>
      </c>
    </row>
  </sheetData>
  <phoneticPr fontId="2"/>
  <printOptions horizontalCentered="1"/>
  <pageMargins left="0.59055118110236227" right="0.59055118110236227" top="0.35433070866141736" bottom="0.59055118110236227" header="0" footer="0.59055118110236227"/>
  <pageSetup paperSize="9" scale="57" orientation="portrait" blackAndWhite="1" cellComments="atEnd" r:id="rId1"/>
  <headerFooter scaleWithDoc="0" alignWithMargins="0">
    <oddFooter>&amp;C- 17 -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R5.1!Print_Area</vt:lpstr>
      <vt:lpstr>R5.10!Print_Area</vt:lpstr>
      <vt:lpstr>R5.11!Print_Area</vt:lpstr>
      <vt:lpstr>R5.12!Print_Area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2025-04-09T05:00:51Z</dcterms:created>
  <dcterms:modified xsi:type="dcterms:W3CDTF">2025-04-10T05:13:23Z</dcterms:modified>
</cp:coreProperties>
</file>