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MWJIEp5q5mz1QjaQDlqtQRbrzyDPc5lFjrulaAZpPDJgltKkOEP5Ef06PQpwe3Uby28gmxW800Vj+5ZlTP6cvA==" workbookSaltValue="Tws7hSIUfcDfArV8S8HmFA==" workbookSpinCount="100000" lockStructure="1"/>
  <bookViews>
    <workbookView xWindow="0" yWindow="0" windowWidth="28800" windowHeight="1191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AF13" i="17"/>
  <c r="AC13" i="17"/>
  <c r="AB13" i="17"/>
  <c r="AA13" i="17"/>
  <c r="Z13" i="17"/>
  <c r="AF12" i="17"/>
  <c r="AC12" i="17"/>
  <c r="AB12" i="17"/>
  <c r="AA12" i="17"/>
  <c r="Z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X8" i="17" s="1"/>
  <c r="BW4" i="17" s="1"/>
  <c r="AT4" i="17"/>
  <c r="AP4" i="17"/>
  <c r="AP8" i="17" s="1"/>
  <c r="BO4" i="17" s="1"/>
  <c r="AR4" i="17"/>
  <c r="AY4" i="17"/>
  <c r="AM4" i="17"/>
  <c r="BE4" i="17"/>
  <c r="BA4" i="17"/>
  <c r="AW4" i="17"/>
  <c r="AS4" i="17"/>
  <c r="AO4" i="17"/>
  <c r="AV4" i="17"/>
  <c r="BC4" i="17"/>
  <c r="AU4" i="17"/>
  <c r="AU8" i="17" s="1"/>
  <c r="BT4" i="17" s="1"/>
  <c r="BD4" i="17"/>
  <c r="AZ4" i="17"/>
  <c r="AN4" i="17"/>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N8" i="17" l="1"/>
  <c r="BM4" i="17" s="1"/>
  <c r="BM5" i="17" s="1"/>
  <c r="AT8" i="17"/>
  <c r="BS4" i="17" s="1"/>
  <c r="O46" i="18"/>
  <c r="BB8" i="17"/>
  <c r="CA4" i="17" s="1"/>
  <c r="EP4" i="17" s="1"/>
  <c r="BF8" i="17"/>
  <c r="CE4" i="17" s="1"/>
  <c r="DL4"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CY3" i="17"/>
  <c r="CZ6" i="17" s="1"/>
  <c r="CV4" i="17"/>
  <c r="ED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BW5" i="17"/>
  <c r="CD6" i="17"/>
  <c r="CE6" i="17"/>
  <c r="CO10" i="17"/>
  <c r="CP11" i="17"/>
  <c r="CO11" i="17" s="1"/>
  <c r="BI5" i="17"/>
  <c r="BH5" i="17" s="1"/>
  <c r="BH4" i="17"/>
  <c r="BI14" i="17"/>
  <c r="BH14" i="17" s="1"/>
  <c r="BH13" i="17"/>
  <c r="BT5" i="17"/>
  <c r="BU6" i="17"/>
  <c r="BW6" i="17"/>
  <c r="BO6" i="17"/>
  <c r="BT7" i="17"/>
  <c r="CH3" i="17"/>
  <c r="BR6" i="17"/>
  <c r="BS6" i="17"/>
  <c r="BQ6" i="17"/>
  <c r="DI3" i="17"/>
  <c r="CC6" i="17"/>
  <c r="BM6" i="17"/>
  <c r="CG3" i="17"/>
  <c r="CM3" i="17"/>
  <c r="DG3" i="17"/>
  <c r="CA6" i="17"/>
  <c r="CJ3" i="17"/>
  <c r="DF3" i="17"/>
  <c r="BZ6" i="17"/>
  <c r="DE3" i="17"/>
  <c r="BY6" i="17"/>
  <c r="CI3" i="17"/>
  <c r="DH3" i="17"/>
  <c r="CB6" i="17"/>
  <c r="BN6" i="17"/>
  <c r="BO5" i="17"/>
  <c r="BS5" i="17"/>
  <c r="BV6" i="17"/>
  <c r="BX6" i="17"/>
  <c r="BP6" i="17"/>
  <c r="BT6" i="17"/>
  <c r="O42" i="18"/>
  <c r="O60" i="18"/>
  <c r="O52" i="18"/>
  <c r="O24" i="18"/>
  <c r="O34" i="18"/>
  <c r="O16" i="18"/>
  <c r="CT4" i="17" l="1"/>
  <c r="CE5" i="17"/>
  <c r="EB4" i="17"/>
  <c r="EB21" i="17" s="1"/>
  <c r="DH4" i="17"/>
  <c r="DH5" i="17" s="1"/>
  <c r="CA5" i="17"/>
  <c r="O75" i="18"/>
  <c r="ER4" i="17"/>
  <c r="ES7" i="17" s="1"/>
  <c r="CC5" i="17"/>
  <c r="CJ5"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D5"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DI7" i="17" l="1"/>
  <c r="DJ10" i="17" s="1"/>
  <c r="EB5" i="17"/>
  <c r="EC7" i="17"/>
  <c r="ED10" i="17" s="1"/>
  <c r="ER7" i="17"/>
  <c r="ER8" i="17" s="1"/>
  <c r="CM5" i="17"/>
  <c r="BU8" i="17"/>
  <c r="ER21" i="17"/>
  <c r="ER22" i="17" s="1"/>
  <c r="DH7" i="17"/>
  <c r="P85" i="18" s="1"/>
  <c r="ER5" i="17"/>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L10" i="17"/>
  <c r="EK24" i="17"/>
  <c r="EK25" i="17" s="1"/>
  <c r="EW23" i="17"/>
  <c r="EK10" i="17"/>
  <c r="EJ24" i="17"/>
  <c r="EJ25" i="17" s="1"/>
  <c r="EM25" i="17"/>
  <c r="EX23" i="17"/>
  <c r="EP22" i="17"/>
  <c r="ER10" i="17"/>
  <c r="EQ24" i="17"/>
  <c r="EQ25" i="17" s="1"/>
  <c r="ED24" i="17"/>
  <c r="ED23"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DP7" i="17" l="1"/>
  <c r="EC24" i="17"/>
  <c r="EC8" i="17"/>
  <c r="ER24" i="17"/>
  <c r="ER25" i="17" s="1"/>
  <c r="EY21" i="17"/>
  <c r="EX21" i="17"/>
  <c r="DH8" i="17"/>
  <c r="DP8" i="17" s="1"/>
  <c r="DQ7" i="17"/>
  <c r="DI10" i="17"/>
  <c r="DJ13" i="17" s="1"/>
  <c r="DK16"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EY25" i="17" l="1"/>
  <c r="DQ10" i="17"/>
  <c r="P250" i="18"/>
  <c r="P226" i="18"/>
  <c r="DB16" i="17"/>
  <c r="DC19" i="17" s="1"/>
  <c r="P200" i="18" s="1"/>
  <c r="DG19" i="17"/>
  <c r="P204" i="18" s="1"/>
  <c r="P134" i="18"/>
  <c r="Q37" i="18" s="1"/>
  <c r="DP10" i="17"/>
  <c r="DI11" i="17"/>
  <c r="DQ11" i="17"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CG9" i="17"/>
  <c r="BN12" i="17"/>
  <c r="CH9" i="17"/>
  <c r="BM11" i="17"/>
  <c r="CH11" i="17" s="1"/>
  <c r="I27" i="18" s="1"/>
  <c r="P27" i="18" s="1"/>
  <c r="CV14" i="17"/>
  <c r="DT12" i="17"/>
  <c r="DN6" i="17"/>
  <c r="BL11" i="17"/>
  <c r="BM12" i="17"/>
  <c r="DP12" i="17"/>
  <c r="CI14" i="17"/>
  <c r="BM13" i="17"/>
  <c r="CG10" i="17"/>
  <c r="H142" i="18" l="1"/>
  <c r="Q45" i="18"/>
  <c r="DC20" i="17"/>
  <c r="P175" i="18"/>
  <c r="DB17" i="17"/>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EY14" i="17" l="1"/>
  <c r="DW8" i="17"/>
  <c r="DW10" i="17"/>
  <c r="DW16" i="17" s="1"/>
  <c r="CF12" i="17"/>
  <c r="CK12" i="17" s="1"/>
  <c r="DW7" i="17"/>
  <c r="DW9" i="17" s="1"/>
  <c r="DW17" i="17" s="1"/>
  <c r="DX1"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EE9" i="17" l="1"/>
  <c r="EE4" i="17"/>
  <c r="EE7" i="17"/>
  <c r="EE24" i="17" s="1"/>
  <c r="DX18" i="17"/>
  <c r="EE12" i="17"/>
  <c r="EF4" i="17"/>
  <c r="EF21" i="17" s="1"/>
  <c r="C37" i="21"/>
  <c r="EG4" i="17"/>
  <c r="EE6" i="17"/>
  <c r="EE3" i="17"/>
  <c r="EE10" i="17"/>
  <c r="EG3" i="17"/>
  <c r="EE13" i="17"/>
  <c r="EE30" i="17" s="1"/>
  <c r="EF3" i="17"/>
  <c r="EG7" i="17"/>
  <c r="EH10" i="17" s="1"/>
  <c r="EH27" i="17" s="1"/>
  <c r="EF9" i="17"/>
  <c r="EG12"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EG29" i="17"/>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G24" i="17" l="1"/>
  <c r="EF10" i="17"/>
  <c r="EG13" i="17" s="1"/>
  <c r="EG30" i="17" s="1"/>
  <c r="EH6" i="17"/>
  <c r="EG5" i="17"/>
  <c r="EG20" i="17"/>
  <c r="EG21" i="17"/>
  <c r="EH7" i="17"/>
  <c r="EF13" i="17"/>
  <c r="EE27" i="17"/>
  <c r="D38" i="21"/>
  <c r="D39" i="21"/>
  <c r="D37" i="21"/>
  <c r="C38" i="21"/>
  <c r="C39" i="21"/>
  <c r="EF27" i="17"/>
  <c r="EG6" i="17"/>
  <c r="EF5" i="17"/>
  <c r="EF20" i="17"/>
  <c r="EF22" i="17" s="1"/>
  <c r="EF6" i="17"/>
  <c r="EU3" i="17"/>
  <c r="FB3" i="17"/>
  <c r="EE5" i="17"/>
  <c r="EE20" i="17"/>
  <c r="EE21" i="17"/>
  <c r="FB4" i="17"/>
  <c r="EU4" i="17"/>
  <c r="EF7" i="17"/>
  <c r="EF26" i="17"/>
  <c r="EE23" i="17"/>
  <c r="EE25" i="17" s="1"/>
  <c r="FB6" i="17"/>
  <c r="EE8" i="17"/>
  <c r="EE29" i="17"/>
  <c r="EE31" i="17" s="1"/>
  <c r="EE14" i="17"/>
  <c r="EE26" i="17"/>
  <c r="EE11" i="17"/>
  <c r="EF12" i="17"/>
  <c r="U10" i="18"/>
  <c r="D44" i="21" s="1"/>
  <c r="EI13" i="17"/>
  <c r="EI30" i="17"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EG31" i="17"/>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14" i="17" l="1"/>
  <c r="CH20" i="17"/>
  <c r="EF11" i="17"/>
  <c r="EF14" i="17"/>
  <c r="FB14" i="17" s="1"/>
  <c r="EF29" i="17"/>
  <c r="FB12" i="17"/>
  <c r="FA4" i="17"/>
  <c r="EZ4" i="17"/>
  <c r="EU5" i="17"/>
  <c r="FB5" i="17"/>
  <c r="EI10" i="17"/>
  <c r="EH24" i="17"/>
  <c r="EI9" i="17"/>
  <c r="EH23" i="17"/>
  <c r="EH8" i="17"/>
  <c r="EE28" i="17"/>
  <c r="FB29" i="17"/>
  <c r="FB21" i="17"/>
  <c r="EU21" i="17"/>
  <c r="EZ3" i="17"/>
  <c r="FA3" i="17"/>
  <c r="EG23" i="17"/>
  <c r="EH9" i="17"/>
  <c r="EF30" i="17"/>
  <c r="FB30" i="17" s="1"/>
  <c r="FB13" i="17"/>
  <c r="EG22" i="17"/>
  <c r="EF28" i="17"/>
  <c r="EF8" i="17"/>
  <c r="FB8" i="17" s="1"/>
  <c r="EG10" i="17"/>
  <c r="FB7" i="17"/>
  <c r="EF24" i="17"/>
  <c r="FB20" i="17"/>
  <c r="EE22" i="17"/>
  <c r="EU20" i="17"/>
  <c r="EF23" i="17"/>
  <c r="EG9" i="17"/>
  <c r="EG8"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H25" i="17" l="1"/>
  <c r="EF31" i="17"/>
  <c r="FB31" i="17" s="1"/>
  <c r="FA20" i="17"/>
  <c r="EZ20" i="17"/>
  <c r="EZ21" i="17"/>
  <c r="FA21" i="17"/>
  <c r="EZ5" i="17"/>
  <c r="FA5" i="17"/>
  <c r="FB22" i="17"/>
  <c r="EU22" i="17"/>
  <c r="FB10" i="17"/>
  <c r="EH13" i="17"/>
  <c r="EH30" i="17" s="1"/>
  <c r="EG27" i="17"/>
  <c r="FB23" i="17"/>
  <c r="EG25" i="17"/>
  <c r="DZ7" i="17"/>
  <c r="DZ6" i="17"/>
  <c r="EH26" i="17"/>
  <c r="EH28" i="17" s="1"/>
  <c r="EI12" i="17"/>
  <c r="EH11" i="17"/>
  <c r="EI11" i="17"/>
  <c r="EJ12" i="17"/>
  <c r="EI26" i="17"/>
  <c r="EG26" i="17"/>
  <c r="FB26" i="17" s="1"/>
  <c r="EH12" i="17"/>
  <c r="FB9" i="17"/>
  <c r="EG11" i="17"/>
  <c r="FB11" i="17" s="1"/>
  <c r="DZ13" i="17"/>
  <c r="DZ30" i="17" s="1"/>
  <c r="DZ12" i="17"/>
  <c r="EJ13" i="17"/>
  <c r="EJ30" i="17" s="1"/>
  <c r="EI27" i="17"/>
  <c r="EF25" i="17"/>
  <c r="FB25" i="17" s="1"/>
  <c r="FB24" i="17"/>
  <c r="D11" i="19"/>
  <c r="CK18" i="17"/>
  <c r="DS20" i="17"/>
  <c r="DS18" i="17"/>
  <c r="CK19" i="17"/>
  <c r="CL19" i="17"/>
  <c r="CF20" i="17"/>
  <c r="DZ14" i="17" l="1"/>
  <c r="DZ29" i="17"/>
  <c r="DZ31" i="17" s="1"/>
  <c r="EH29" i="17"/>
  <c r="EH14" i="17"/>
  <c r="DZ23" i="17"/>
  <c r="DZ8" i="17"/>
  <c r="EU8" i="17" s="1"/>
  <c r="EU6" i="17"/>
  <c r="EA9" i="17"/>
  <c r="EG28" i="17"/>
  <c r="FB28" i="17" s="1"/>
  <c r="FB27" i="17"/>
  <c r="EJ29" i="17"/>
  <c r="EJ31" i="17" s="1"/>
  <c r="EJ14" i="17"/>
  <c r="FA22" i="17"/>
  <c r="EZ22" i="17"/>
  <c r="H36" i="21"/>
  <c r="DZ24" i="17"/>
  <c r="EU24" i="17" s="1"/>
  <c r="EA10" i="17"/>
  <c r="EU7" i="17"/>
  <c r="EH31" i="17"/>
  <c r="EI28" i="17"/>
  <c r="EI29" i="17"/>
  <c r="EI31" i="17" s="1"/>
  <c r="EI14" i="17"/>
  <c r="DZ10" i="17"/>
  <c r="DZ9" i="17"/>
  <c r="CK20" i="17"/>
  <c r="CL20" i="17"/>
  <c r="EA12" i="17" l="1"/>
  <c r="DZ26" i="17"/>
  <c r="DZ11" i="17"/>
  <c r="EU9" i="17"/>
  <c r="EV9" i="17"/>
  <c r="EA26" i="17"/>
  <c r="EA11" i="17"/>
  <c r="EV11" i="17" s="1"/>
  <c r="EB12" i="17"/>
  <c r="EA13" i="17"/>
  <c r="DZ27" i="17"/>
  <c r="EU10" i="17"/>
  <c r="FA7" i="17"/>
  <c r="EZ7" i="17"/>
  <c r="FA8" i="17"/>
  <c r="EZ8" i="17"/>
  <c r="FA24" i="17"/>
  <c r="EZ24" i="17"/>
  <c r="EZ6" i="17"/>
  <c r="FA6" i="17"/>
  <c r="EA27" i="17"/>
  <c r="EV27" i="17" s="1"/>
  <c r="EB13" i="17"/>
  <c r="EV10" i="17"/>
  <c r="EU23" i="17"/>
  <c r="DZ25" i="17"/>
  <c r="EU25" i="17" s="1"/>
  <c r="EZ25" i="17" l="1"/>
  <c r="H37" i="21"/>
  <c r="FA25" i="17"/>
  <c r="EB29" i="17"/>
  <c r="EB14" i="17"/>
  <c r="EW14" i="17" s="1"/>
  <c r="EW12" i="17"/>
  <c r="EZ9" i="17"/>
  <c r="FA9" i="17"/>
  <c r="FA23" i="17"/>
  <c r="EZ23" i="17"/>
  <c r="EZ10" i="17"/>
  <c r="FA10" i="17"/>
  <c r="EU11" i="17"/>
  <c r="EU27" i="17"/>
  <c r="EA28" i="17"/>
  <c r="EV28" i="17" s="1"/>
  <c r="EV26" i="17"/>
  <c r="DZ28" i="17"/>
  <c r="EU26" i="17"/>
  <c r="EV13" i="17"/>
  <c r="EW13" i="17"/>
  <c r="EB30" i="17"/>
  <c r="EW30" i="17" s="1"/>
  <c r="EA30" i="17"/>
  <c r="EU13" i="17"/>
  <c r="EA29" i="17"/>
  <c r="EA14" i="17"/>
  <c r="EV12" i="17"/>
  <c r="EU12" i="17"/>
  <c r="EV14" i="17" l="1"/>
  <c r="EU14" i="17"/>
  <c r="EU28" i="17"/>
  <c r="EZ11" i="17"/>
  <c r="FA11" i="17"/>
  <c r="EA31" i="17"/>
  <c r="EV29" i="17"/>
  <c r="EU29" i="17"/>
  <c r="EW29" i="17"/>
  <c r="EB31" i="17"/>
  <c r="EW31" i="17" s="1"/>
  <c r="FA12" i="17"/>
  <c r="EZ12" i="17"/>
  <c r="EZ13" i="17"/>
  <c r="FA13" i="17"/>
  <c r="EU30" i="17"/>
  <c r="EV30" i="17"/>
  <c r="FA26" i="17"/>
  <c r="EZ26" i="17"/>
  <c r="EZ27" i="17"/>
  <c r="FA27" i="17"/>
  <c r="EZ30" i="17" l="1"/>
  <c r="FA30" i="17"/>
  <c r="H38" i="21"/>
  <c r="FA28" i="17"/>
  <c r="EZ28" i="17"/>
  <c r="EV31" i="17"/>
  <c r="EU31" i="17"/>
  <c r="FA14" i="17"/>
  <c r="EZ14" i="17"/>
  <c r="EZ29" i="17"/>
  <c r="FA29" i="17"/>
  <c r="EZ31" i="17" l="1"/>
  <c r="FA31" i="17"/>
  <c r="H39" i="21"/>
</calcChain>
</file>

<file path=xl/sharedStrings.xml><?xml version="1.0" encoding="utf-8"?>
<sst xmlns="http://schemas.openxmlformats.org/spreadsheetml/2006/main" count="1366" uniqueCount="450">
  <si>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</si>
  <si>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</si>
  <si>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</si>
  <si>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</si>
  <si>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</si>
  <si>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</si>
  <si>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</si>
  <si>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</si>
  <si>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</si>
  <si>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</si>
  <si>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</si>
  <si>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</si>
  <si>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</si>
  <si>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</si>
  <si>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</si>
  <si>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</si>
  <si>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</si>
  <si>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</si>
  <si>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</si>
  <si>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</si>
  <si>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</si>
  <si>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</si>
  <si>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</si>
  <si>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</si>
  <si>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</si>
  <si>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</si>
  <si>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</si>
  <si>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</si>
  <si>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</si>
  <si>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</si>
  <si>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</si>
  <si>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</si>
  <si>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</si>
  <si>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</si>
  <si>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</si>
  <si>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</si>
  <si>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</si>
  <si>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</si>
  <si>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</si>
  <si>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</si>
  <si>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</si>
  <si>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</si>
  <si>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</si>
  <si>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</si>
  <si>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</si>
  <si>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</si>
  <si>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</si>
  <si>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</si>
  <si>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</si>
  <si>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</si>
  <si>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</si>
  <si>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</si>
  <si>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</si>
  <si>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</si>
  <si>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</si>
  <si>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</si>
  <si>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</si>
  <si>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</si>
  <si>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</si>
  <si>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</si>
  <si>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</si>
  <si>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</si>
  <si>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</si>
  <si>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</si>
  <si>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</si>
  <si>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</si>
  <si>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</si>
  <si>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</si>
  <si>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</si>
  <si>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</si>
  <si>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</si>
  <si>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</si>
  <si>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</si>
  <si>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</si>
  <si>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</si>
  <si>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</si>
  <si>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</si>
  <si>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</si>
  <si>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</si>
  <si>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</si>
  <si>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</si>
  <si>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</si>
  <si>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</si>
  <si>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</si>
  <si>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</si>
  <si>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</si>
  <si>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</si>
  <si>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</si>
  <si>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</si>
  <si>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</si>
  <si>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</si>
  <si>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</si>
  <si>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</si>
  <si>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</si>
  <si>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</si>
  <si>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</si>
  <si>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</si>
  <si>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</si>
  <si>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</si>
  <si>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</si>
  <si>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</si>
  <si>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</si>
  <si>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</si>
  <si>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</si>
  <si>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</si>
  <si>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</si>
  <si>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</si>
  <si>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</si>
  <si>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</si>
  <si>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</si>
  <si>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</si>
  <si>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</si>
  <si>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</si>
  <si>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</si>
  <si>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</si>
  <si>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</si>
  <si>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</si>
  <si>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</si>
  <si>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</si>
  <si>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</si>
  <si>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</si>
  <si>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</si>
  <si>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</si>
  <si>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</si>
  <si>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</si>
  <si>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</si>
  <si>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</si>
  <si>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</si>
  <si>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</si>
  <si>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</si>
  <si>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</si>
  <si>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</si>
  <si>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</si>
  <si>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</si>
  <si>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</si>
  <si>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</si>
  <si>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</si>
  <si>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</si>
  <si>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</si>
  <si>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</si>
  <si>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</si>
  <si>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</si>
  <si>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</si>
  <si>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</si>
  <si>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</si>
  <si>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</si>
  <si>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</si>
  <si>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</si>
  <si>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</si>
  <si>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</si>
  <si>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</si>
  <si>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</si>
  <si>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</si>
  <si>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</si>
  <si>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</si>
  <si>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</si>
  <si>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</si>
  <si>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</si>
  <si>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</si>
  <si>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</si>
  <si>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</si>
  <si>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</si>
  <si>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</si>
  <si>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</si>
  <si>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</si>
  <si>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</si>
  <si>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</si>
  <si>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</si>
  <si>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</si>
  <si>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</si>
  <si>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</si>
  <si>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</si>
  <si>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</si>
  <si>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</si>
  <si>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</si>
  <si>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</si>
  <si>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</si>
  <si>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</si>
  <si>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</si>
  <si>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</si>
  <si>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</si>
  <si>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</si>
  <si>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</si>
  <si>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</si>
  <si>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</si>
  <si>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</si>
  <si>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</si>
  <si>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</si>
  <si>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</si>
  <si>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</si>
  <si>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</si>
  <si>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</si>
  <si>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</si>
  <si>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</si>
  <si>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</si>
  <si>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</si>
  <si>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</si>
  <si>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</si>
  <si>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</si>
  <si>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</si>
  <si>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</si>
  <si>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</si>
  <si>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</si>
  <si>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</si>
  <si>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</si>
  <si>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</si>
  <si>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</si>
  <si>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</si>
  <si>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</si>
  <si>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</si>
  <si>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</si>
  <si>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</si>
  <si>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</si>
  <si>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</si>
  <si>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</si>
  <si>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</si>
  <si>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</si>
  <si>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</si>
  <si>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</si>
  <si>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</si>
  <si>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</si>
  <si>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</si>
  <si>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</si>
  <si>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</si>
  <si>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</si>
  <si>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</si>
  <si>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</si>
  <si>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</si>
  <si>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</si>
  <si>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</si>
  <si>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</si>
  <si>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</si>
  <si>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</si>
  <si>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</si>
  <si>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</si>
  <si>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</si>
  <si>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</si>
  <si>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</si>
  <si>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</si>
  <si>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</si>
  <si>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</si>
  <si>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</si>
  <si>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</si>
  <si>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</si>
  <si>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</si>
  <si>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</si>
  <si>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</si>
  <si>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</si>
  <si>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</si>
  <si>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</si>
  <si>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</si>
  <si>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</si>
  <si>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</si>
  <si>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</si>
  <si>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</si>
  <si>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</si>
  <si>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</si>
  <si>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</si>
  <si>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</si>
  <si>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</si>
  <si>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</si>
  <si>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</si>
  <si>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</si>
  <si>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</si>
  <si>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</si>
  <si>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</si>
  <si>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</si>
  <si>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</si>
  <si>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</si>
  <si>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</si>
  <si>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</si>
  <si>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</si>
  <si>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</si>
  <si>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</si>
  <si>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</si>
  <si>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</si>
  <si>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</si>
  <si>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</si>
  <si>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</si>
  <si>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</si>
  <si>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</si>
  <si>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</si>
  <si>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</si>
  <si>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</si>
  <si>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</si>
  <si>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</si>
  <si>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</si>
  <si>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</si>
  <si>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</si>
  <si>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</si>
  <si>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</si>
  <si>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</si>
  <si>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</si>
  <si>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</si>
  <si>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</si>
  <si>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</si>
  <si>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</si>
  <si>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</si>
  <si>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</si>
  <si>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</si>
  <si>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</si>
  <si>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</si>
  <si>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</si>
  <si>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</si>
  <si>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</si>
  <si>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</si>
  <si>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</si>
  <si>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</si>
  <si>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</si>
  <si>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</si>
  <si>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</si>
  <si>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</si>
  <si>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</si>
  <si>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</si>
  <si>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</si>
  <si>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</si>
  <si>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</si>
  <si>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</si>
  <si>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</si>
  <si>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</si>
  <si>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</si>
  <si>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</si>
  <si>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</si>
  <si>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</si>
  <si>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</si>
  <si>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</si>
  <si>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</si>
  <si>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</si>
  <si>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</si>
  <si>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</si>
  <si>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</si>
  <si>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</si>
  <si>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</si>
  <si>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</si>
  <si>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</si>
  <si>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</si>
  <si>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</si>
  <si>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</si>
  <si>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</si>
  <si>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</si>
  <si>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</si>
  <si>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</si>
  <si>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</si>
  <si>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</si>
  <si>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</si>
  <si>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</si>
  <si>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</si>
  <si>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</si>
  <si>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</si>
  <si>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</si>
  <si>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</si>
  <si>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</si>
  <si>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</si>
  <si>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</si>
  <si>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</si>
  <si>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</si>
  <si>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</si>
  <si>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</si>
  <si>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</si>
  <si>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</si>
  <si>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</si>
  <si>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</si>
  <si>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</si>
  <si>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</si>
  <si>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</si>
  <si>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</si>
  <si>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</si>
  <si>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</si>
  <si>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</si>
  <si>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</si>
  <si>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</si>
  <si>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</si>
  <si>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</si>
  <si>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</si>
  <si>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</si>
  <si>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</si>
  <si>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</si>
  <si>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</si>
  <si>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</si>
  <si>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</si>
  <si>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</si>
  <si>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</si>
  <si>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</si>
  <si>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</si>
  <si>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</si>
  <si>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</si>
  <si>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</si>
  <si>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</si>
  <si>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</si>
  <si>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</si>
  <si>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</si>
  <si>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</si>
  <si>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</si>
  <si>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</si>
  <si>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</si>
  <si>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</si>
  <si>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</si>
  <si>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</si>
  <si>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</si>
  <si>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</si>
  <si>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</si>
  <si>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</si>
  <si>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</si>
  <si>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</si>
  <si>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</si>
  <si>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</si>
  <si>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</si>
  <si>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</si>
  <si>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</si>
  <si>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</si>
  <si>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</si>
  <si>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</si>
  <si>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</si>
  <si>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</si>
  <si>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</si>
  <si>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</si>
  <si>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</si>
  <si>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</si>
  <si>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</si>
  <si>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</si>
  <si>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</si>
  <si>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</si>
  <si>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</si>
  <si>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</si>
  <si>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</si>
  <si>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</si>
  <si>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</si>
  <si>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</si>
  <si>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45205_1</t>
  </si>
  <si>
    <t>小林市</t>
    <rPh sb="0" eb="2">
      <t>コバヤシ</t>
    </rPh>
    <rPh sb="2" eb="3">
      <t>シ</t>
    </rPh>
    <phoneticPr fontId="1"/>
  </si>
  <si>
    <t>西小林中学校区</t>
  </si>
  <si>
    <t>45205_2</t>
  </si>
  <si>
    <t>細野中学校区</t>
  </si>
  <si>
    <t>45205_3</t>
  </si>
  <si>
    <t>須木中学校区</t>
  </si>
  <si>
    <t>45205_4</t>
  </si>
  <si>
    <t>野尻地区</t>
  </si>
  <si>
    <t>45205_5</t>
  </si>
  <si>
    <t>南小学校区</t>
  </si>
  <si>
    <t>45205_6</t>
  </si>
  <si>
    <t>三松中学校区</t>
  </si>
  <si>
    <t>45205_7</t>
  </si>
  <si>
    <t>東方中学校区</t>
  </si>
  <si>
    <t>45205_8</t>
  </si>
  <si>
    <t>45205_9</t>
  </si>
  <si>
    <t>45205_8</t>
    <phoneticPr fontId="2"/>
  </si>
  <si>
    <t>※将来予測シート①の最後で挙げた問題をもとに考えてみてください。</t>
    <rPh sb="10" eb="12">
      <t>サイゴ</t>
    </rPh>
    <rPh sb="13" eb="14">
      <t>ア</t>
    </rPh>
    <rPh sb="16" eb="18">
      <t>モンダイ</t>
    </rPh>
    <rPh sb="22" eb="23">
      <t>カンガ</t>
    </rPh>
    <phoneticPr fontId="2"/>
  </si>
  <si>
    <t>永久津中学校区</t>
    <rPh sb="4" eb="5">
      <t>ガク</t>
    </rPh>
    <phoneticPr fontId="1"/>
  </si>
  <si>
    <t>小林小学校区</t>
    <rPh sb="3" eb="4">
      <t>ガク</t>
    </rPh>
    <phoneticPr fontId="1"/>
  </si>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</sst>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59">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0" xfId="0" applyFill="1" applyBorder="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Border="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pplyAlignment="1">
      <alignment vertical="center"/>
    </xf>
    <xf numFmtId="0" fontId="0" fillId="3" borderId="9" xfId="0" applyFill="1" applyBorder="1" applyAlignment="1">
      <alignment vertical="center"/>
    </xf>
    <xf numFmtId="0" fontId="0" fillId="3" borderId="10" xfId="0" applyFill="1" applyBorder="1" applyAlignment="1">
      <alignment vertical="center"/>
    </xf>
    <xf numFmtId="0" fontId="0" fillId="3" borderId="11" xfId="0" applyFill="1" applyBorder="1" applyAlignment="1">
      <alignment vertical="center"/>
    </xf>
    <xf numFmtId="177" fontId="0" fillId="5" borderId="2" xfId="0" applyNumberFormat="1" applyFill="1" applyBorder="1" applyAlignment="1">
      <alignment vertical="center"/>
    </xf>
    <xf numFmtId="177" fontId="0" fillId="5" borderId="3" xfId="0" applyNumberFormat="1" applyFill="1" applyBorder="1" applyAlignment="1">
      <alignment vertical="center"/>
    </xf>
    <xf numFmtId="177" fontId="0" fillId="5" borderId="4" xfId="0" applyNumberFormat="1" applyFill="1" applyBorder="1" applyAlignment="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pplyBorder="1">
      <alignment vertical="center"/>
    </xf>
    <xf numFmtId="0" fontId="7" fillId="5" borderId="0" xfId="0" applyFont="1" applyFill="1" applyBorder="1">
      <alignment vertical="center"/>
    </xf>
    <xf numFmtId="0" fontId="7" fillId="5" borderId="0" xfId="0" applyFont="1" applyFill="1" applyAlignment="1">
      <alignment horizontal="left" vertical="center"/>
    </xf>
    <xf numFmtId="0" fontId="7" fillId="5" borderId="0" xfId="0" applyFont="1" applyFill="1" applyBorder="1" applyAlignment="1">
      <alignment horizontal="left" vertical="center"/>
    </xf>
    <xf numFmtId="0" fontId="7" fillId="5" borderId="0" xfId="0" applyFont="1" applyFill="1" applyBorder="1" applyAlignment="1">
      <alignment vertical="center"/>
    </xf>
    <xf numFmtId="0" fontId="10" fillId="5" borderId="0" xfId="0" applyFont="1" applyFill="1" applyBorder="1" applyAlignment="1">
      <alignmen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pplyAlignment="1">
      <alignment vertical="center"/>
    </xf>
    <xf numFmtId="0" fontId="0" fillId="2" borderId="9" xfId="0" applyFill="1" applyBorder="1" applyAlignment="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pplyAlignment="1">
      <alignment vertical="center"/>
    </xf>
    <xf numFmtId="0" fontId="0" fillId="2" borderId="11" xfId="0" applyFill="1" applyBorder="1" applyAlignment="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pplyAlignment="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pplyBorder="1" applyAlignment="1">
      <alignment vertical="center"/>
    </xf>
    <xf numFmtId="178" fontId="0" fillId="5" borderId="0" xfId="2" applyNumberFormat="1" applyFont="1" applyFill="1" applyBorder="1">
      <alignment vertical="center"/>
    </xf>
    <xf numFmtId="0" fontId="0" fillId="5" borderId="0" xfId="0" applyFill="1" applyAlignment="1">
      <alignment horizontal="center" vertical="center"/>
    </xf>
    <xf numFmtId="0" fontId="4" fillId="5" borderId="0" xfId="0" applyFont="1" applyFill="1">
      <alignment vertical="center"/>
    </xf>
    <xf numFmtId="0" fontId="0" fillId="6" borderId="8" xfId="0" applyFill="1" applyBorder="1" applyAlignment="1">
      <alignment vertical="center"/>
    </xf>
    <xf numFmtId="0" fontId="0" fillId="6" borderId="9"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pplyBorder="1" applyAlignment="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pplyBorder="1" applyAlignment="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pplyAlignment="1">
      <alignment vertical="center"/>
    </xf>
    <xf numFmtId="0" fontId="0" fillId="7" borderId="9" xfId="0" applyFill="1" applyBorder="1" applyAlignment="1">
      <alignment vertical="center"/>
    </xf>
    <xf numFmtId="0" fontId="0" fillId="7" borderId="10" xfId="0" applyFill="1" applyBorder="1" applyAlignment="1">
      <alignment vertical="center"/>
    </xf>
    <xf numFmtId="0" fontId="0" fillId="7" borderId="11" xfId="0" applyFill="1" applyBorder="1" applyAlignment="1">
      <alignment vertical="center"/>
    </xf>
    <xf numFmtId="177" fontId="13" fillId="5" borderId="1" xfId="0" applyNumberFormat="1" applyFont="1" applyFill="1" applyBorder="1" applyAlignment="1">
      <alignment horizontal="center" vertical="center"/>
    </xf>
    <xf numFmtId="0" fontId="4" fillId="0" borderId="21" xfId="0" applyFont="1" applyFill="1" applyBorder="1" applyAlignment="1">
      <alignment horizontal="center" vertical="center" wrapText="1"/>
    </xf>
    <xf numFmtId="0" fontId="4" fillId="0" borderId="0" xfId="0" applyFont="1" applyAlignment="1">
      <alignment horizontal="center" vertical="center"/>
    </xf>
    <xf numFmtId="0" fontId="7" fillId="5" borderId="0" xfId="0" applyFont="1" applyFill="1" applyBorder="1" applyAlignment="1">
      <alignment horizontal="center" vertical="center"/>
    </xf>
    <xf numFmtId="38" fontId="7" fillId="5" borderId="0" xfId="0" applyNumberFormat="1" applyFont="1" applyFill="1" applyBorder="1" applyAlignment="1">
      <alignment vertical="center"/>
    </xf>
    <xf numFmtId="0" fontId="18" fillId="5" borderId="0" xfId="0" applyFont="1" applyFill="1" applyBorder="1">
      <alignment vertical="center"/>
    </xf>
    <xf numFmtId="0" fontId="9" fillId="5" borderId="0" xfId="0" applyFont="1" applyFill="1" applyBorder="1">
      <alignment vertical="center"/>
    </xf>
    <xf numFmtId="38" fontId="0" fillId="5" borderId="0" xfId="0" applyNumberFormat="1" applyFill="1">
      <alignment vertical="center"/>
    </xf>
    <xf numFmtId="0" fontId="10" fillId="5" borderId="0" xfId="0" applyFont="1" applyFill="1" applyBorder="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0" xfId="0" applyFont="1" applyFill="1" applyAlignment="1">
      <alignment vertical="center"/>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0" fontId="7" fillId="5" borderId="0" xfId="0" applyFont="1" applyFill="1" applyAlignment="1">
      <alignment horizontal="lef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Border="1" applyAlignment="1">
      <alignment horizontal="left" vertical="center"/>
    </xf>
    <xf numFmtId="9" fontId="7" fillId="5" borderId="0" xfId="0" applyNumberFormat="1" applyFont="1" applyFill="1" applyBorder="1" applyAlignment="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10" fillId="5" borderId="0" xfId="0" applyFont="1" applyFill="1" applyBorder="1" applyAlignment="1">
      <alignment horizontal="center" vertical="center"/>
    </xf>
    <xf numFmtId="0" fontId="7" fillId="5" borderId="0" xfId="0" applyFont="1" applyFill="1" applyAlignment="1">
      <alignment horizontal="lef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0" fontId="18"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0" fontId="10" fillId="5" borderId="0" xfId="0" applyFont="1" applyFill="1">
      <alignment vertical="center"/>
    </xf>
    <xf numFmtId="185" fontId="10" fillId="5" borderId="0" xfId="0" applyNumberFormat="1" applyFont="1" applyFill="1" applyBorder="1" applyAlignment="1">
      <alignment vertical="center"/>
    </xf>
    <xf numFmtId="177" fontId="7" fillId="5" borderId="0" xfId="0" applyNumberFormat="1" applyFont="1" applyFill="1" applyAlignment="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4" xfId="0" applyFont="1" applyFill="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10" fillId="5" borderId="0" xfId="0" applyFont="1" applyFill="1" applyAlignment="1">
      <alignmen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Border="1" applyAlignment="1">
      <alignment horizontal="center" vertical="center"/>
    </xf>
    <xf numFmtId="184" fontId="32" fillId="5" borderId="0" xfId="0" applyNumberFormat="1" applyFont="1" applyFill="1" applyBorder="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31" fillId="5" borderId="0" xfId="0" applyFont="1" applyFill="1" applyBorder="1">
      <alignment vertical="center"/>
    </xf>
    <xf numFmtId="0" fontId="29" fillId="5" borderId="5" xfId="0" applyFont="1" applyFill="1" applyBorder="1">
      <alignment vertical="center"/>
    </xf>
    <xf numFmtId="0" fontId="29" fillId="5" borderId="0"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pplyAlignment="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3" xfId="0" applyFont="1" applyFill="1" applyBorder="1" applyAlignment="1">
      <alignment vertical="center"/>
    </xf>
    <xf numFmtId="0" fontId="10" fillId="5" borderId="24" xfId="0" applyFont="1" applyFill="1" applyBorder="1" applyAlignment="1">
      <alignment vertical="center"/>
    </xf>
    <xf numFmtId="0" fontId="24" fillId="5" borderId="29" xfId="0" applyFont="1" applyFill="1" applyBorder="1">
      <alignment vertical="center"/>
    </xf>
    <xf numFmtId="0" fontId="18" fillId="5" borderId="26" xfId="0" applyFont="1" applyFill="1" applyBorder="1">
      <alignment vertical="center"/>
    </xf>
    <xf numFmtId="0" fontId="0" fillId="0" borderId="1" xfId="0" applyBorder="1" applyAlignment="1">
      <alignment horizontal="center" vertical="center" wrapText="1"/>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Font="1"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left" vertical="center"/>
    </xf>
    <xf numFmtId="0" fontId="7" fillId="5" borderId="0" xfId="0" applyFont="1" applyFill="1" applyAlignment="1">
      <alignment horizontal="right" vertical="center"/>
    </xf>
    <xf numFmtId="0" fontId="37" fillId="5" borderId="0" xfId="0" applyFont="1" applyFill="1" applyBorder="1" applyAlignment="1">
      <alignment vertical="center"/>
    </xf>
    <xf numFmtId="177" fontId="10" fillId="5" borderId="0" xfId="0" applyNumberFormat="1" applyFont="1" applyFill="1" applyAlignment="1">
      <alignment vertical="center"/>
    </xf>
    <xf numFmtId="0" fontId="37" fillId="5" borderId="0" xfId="0" applyFont="1" applyFill="1">
      <alignment vertical="center"/>
    </xf>
    <xf numFmtId="0" fontId="7" fillId="0" borderId="0" xfId="0" applyFont="1" applyFill="1" applyAlignment="1">
      <alignment horizontal="right" vertical="center"/>
    </xf>
    <xf numFmtId="0" fontId="7" fillId="0" borderId="23" xfId="0" applyFont="1" applyFill="1" applyBorder="1">
      <alignment vertical="center"/>
    </xf>
    <xf numFmtId="0" fontId="10" fillId="5" borderId="0" xfId="0" applyNumberFormat="1" applyFont="1" applyFill="1" applyBorder="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Border="1" applyAlignment="1">
      <alignment horizontal="center" vertical="center"/>
    </xf>
    <xf numFmtId="0" fontId="7" fillId="5" borderId="0" xfId="0" applyFont="1" applyFill="1" applyAlignment="1">
      <alignment horizontal="left" vertical="center"/>
    </xf>
    <xf numFmtId="0" fontId="7" fillId="5" borderId="0" xfId="0" applyFont="1" applyFill="1" applyAlignment="1">
      <alignment horizontal="left" vertical="center"/>
    </xf>
    <xf numFmtId="9" fontId="0" fillId="5" borderId="0" xfId="2" applyFont="1" applyFill="1" applyBorder="1">
      <alignment vertical="center"/>
    </xf>
    <xf numFmtId="187" fontId="38" fillId="5" borderId="0" xfId="0" applyNumberFormat="1" applyFont="1" applyFill="1" applyBorder="1" applyAlignment="1">
      <alignment horizontal="center" vertical="center"/>
    </xf>
    <xf numFmtId="187" fontId="7" fillId="5" borderId="0" xfId="0" applyNumberFormat="1" applyFont="1" applyFill="1" applyBorder="1" applyAlignment="1">
      <alignment vertical="center"/>
    </xf>
    <xf numFmtId="187" fontId="7" fillId="5" borderId="0" xfId="0" applyNumberFormat="1" applyFont="1" applyFill="1" applyBorder="1" applyAlignment="1">
      <alignment horizontal="left" vertical="center"/>
    </xf>
    <xf numFmtId="177" fontId="0" fillId="5" borderId="0" xfId="0" applyNumberFormat="1" applyFill="1" applyBorder="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pplyBorder="1" applyAlignment="1">
      <alignment vertical="center"/>
    </xf>
    <xf numFmtId="186" fontId="18" fillId="5" borderId="22" xfId="0" applyNumberFormat="1" applyFont="1" applyFill="1" applyBorder="1" applyAlignment="1">
      <alignment vertical="center"/>
    </xf>
    <xf numFmtId="186" fontId="32" fillId="5" borderId="0" xfId="0" applyNumberFormat="1" applyFont="1" applyFill="1" applyBorder="1" applyAlignment="1">
      <alignment vertical="center"/>
    </xf>
    <xf numFmtId="186" fontId="32" fillId="5" borderId="22" xfId="0" applyNumberFormat="1" applyFont="1" applyFill="1" applyBorder="1" applyAlignment="1">
      <alignment vertical="center"/>
    </xf>
    <xf numFmtId="182" fontId="6" fillId="5" borderId="0" xfId="0" applyNumberFormat="1" applyFont="1" applyFill="1" applyBorder="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pplyAlignment="1">
      <alignment vertical="center"/>
    </xf>
    <xf numFmtId="184" fontId="18" fillId="5" borderId="11" xfId="0" applyNumberFormat="1" applyFont="1" applyFill="1" applyBorder="1" applyAlignment="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Border="1" applyAlignment="1">
      <alignment horizontal="center" vertical="center"/>
    </xf>
    <xf numFmtId="0" fontId="25" fillId="5" borderId="0" xfId="0" applyFont="1" applyFill="1" applyBorder="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0" fontId="0" fillId="0" borderId="1" xfId="0" applyBorder="1" applyAlignment="1">
      <alignment horizontal="center" vertical="center" wrapText="1"/>
    </xf>
    <xf numFmtId="187" fontId="10" fillId="5" borderId="0" xfId="0" applyNumberFormat="1" applyFont="1" applyFill="1" applyBorder="1" applyAlignment="1">
      <alignment horizontal="center"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Border="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Border="1" applyAlignment="1">
      <alignment horizontal="center" vertical="center"/>
    </xf>
    <xf numFmtId="177" fontId="10" fillId="5" borderId="0" xfId="0" applyNumberFormat="1" applyFont="1" applyFill="1" applyBorder="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Border="1" applyAlignment="1">
      <alignment horizontal="center" vertical="center"/>
    </xf>
    <xf numFmtId="38" fontId="10" fillId="5" borderId="0" xfId="0" applyNumberFormat="1" applyFont="1" applyFill="1" applyBorder="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pplyBorder="1" applyAlignment="1">
      <alignment vertical="center"/>
    </xf>
    <xf numFmtId="9" fontId="10" fillId="5" borderId="0" xfId="0" applyNumberFormat="1" applyFont="1" applyFill="1" applyBorder="1" applyAlignment="1">
      <alignment horizontal="center" vertical="center"/>
    </xf>
    <xf numFmtId="0" fontId="7" fillId="5" borderId="0" xfId="0" applyFont="1" applyFill="1" applyBorder="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7" fillId="5" borderId="0" xfId="0" applyFont="1" applyFill="1" applyAlignment="1">
      <alignment horizontal="right"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61</c:v>
                </c:pt>
                <c:pt idx="1">
                  <c:v>50</c:v>
                </c:pt>
                <c:pt idx="2">
                  <c:v>45</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179908160"/>
        <c:axId val="179906200"/>
      </c:barChart>
      <c:catAx>
        <c:axId val="179908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9906200"/>
        <c:crosses val="autoZero"/>
        <c:auto val="1"/>
        <c:lblAlgn val="ctr"/>
        <c:lblOffset val="100"/>
        <c:noMultiLvlLbl val="0"/>
      </c:catAx>
      <c:valAx>
        <c:axId val="1799062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99081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30</c:v>
                </c:pt>
                <c:pt idx="1">
                  <c:v>28</c:v>
                </c:pt>
                <c:pt idx="2">
                  <c:v>23</c:v>
                </c:pt>
                <c:pt idx="3">
                  <c:v>21</c:v>
                </c:pt>
                <c:pt idx="4">
                  <c:v>16</c:v>
                </c:pt>
                <c:pt idx="5">
                  <c:v>13</c:v>
                </c:pt>
                <c:pt idx="6">
                  <c:v>11</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8540648"/>
        <c:axId val="398543000"/>
      </c:barChart>
      <c:catAx>
        <c:axId val="398540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3000"/>
        <c:crosses val="autoZero"/>
        <c:auto val="1"/>
        <c:lblAlgn val="ctr"/>
        <c:lblOffset val="100"/>
        <c:noMultiLvlLbl val="0"/>
      </c:catAx>
      <c:valAx>
        <c:axId val="3985430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06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0.33</c:v>
                </c:pt>
                <c:pt idx="1">
                  <c:v>0.38</c:v>
                </c:pt>
                <c:pt idx="2">
                  <c:v>0.43</c:v>
                </c:pt>
                <c:pt idx="3">
                  <c:v>0.46</c:v>
                </c:pt>
                <c:pt idx="4">
                  <c:v>0.48</c:v>
                </c:pt>
                <c:pt idx="5">
                  <c:v>0.5</c:v>
                </c:pt>
                <c:pt idx="6">
                  <c:v>0.52</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8542216"/>
        <c:axId val="398542608"/>
      </c:barChart>
      <c:catAx>
        <c:axId val="398542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2608"/>
        <c:crosses val="autoZero"/>
        <c:auto val="1"/>
        <c:lblAlgn val="ctr"/>
        <c:lblOffset val="100"/>
        <c:noMultiLvlLbl val="0"/>
      </c:catAx>
      <c:valAx>
        <c:axId val="3985426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22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0.18</c:v>
                </c:pt>
                <c:pt idx="1">
                  <c:v>0.22</c:v>
                </c:pt>
                <c:pt idx="2">
                  <c:v>0.24</c:v>
                </c:pt>
                <c:pt idx="3">
                  <c:v>0.27</c:v>
                </c:pt>
                <c:pt idx="4">
                  <c:v>0.31</c:v>
                </c:pt>
                <c:pt idx="5">
                  <c:v>0.34</c:v>
                </c:pt>
                <c:pt idx="6">
                  <c:v>0.35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8544176"/>
        <c:axId val="398544568"/>
      </c:barChart>
      <c:catAx>
        <c:axId val="398544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4568"/>
        <c:crosses val="autoZero"/>
        <c:auto val="1"/>
        <c:lblAlgn val="ctr"/>
        <c:lblOffset val="100"/>
        <c:noMultiLvlLbl val="0"/>
      </c:catAx>
      <c:valAx>
        <c:axId val="3985445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41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9C2-43D0-B48A-6C7F8CD1B487}"/>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9C2-43D0-B48A-6C7F8CD1B48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8</c:v>
                </c:pt>
                <c:pt idx="1">
                  <c:v>8</c:v>
                </c:pt>
                <c:pt idx="2">
                  <c:v>10</c:v>
                </c:pt>
                <c:pt idx="3">
                  <c:v>15</c:v>
                </c:pt>
                <c:pt idx="4">
                  <c:v>8</c:v>
                </c:pt>
                <c:pt idx="5">
                  <c:v>9</c:v>
                </c:pt>
                <c:pt idx="6">
                  <c:v>8</c:v>
                </c:pt>
                <c:pt idx="7">
                  <c:v>11</c:v>
                </c:pt>
                <c:pt idx="8">
                  <c:v>16</c:v>
                </c:pt>
                <c:pt idx="9">
                  <c:v>21</c:v>
                </c:pt>
                <c:pt idx="10">
                  <c:v>23</c:v>
                </c:pt>
                <c:pt idx="11">
                  <c:v>23</c:v>
                </c:pt>
                <c:pt idx="12">
                  <c:v>27</c:v>
                </c:pt>
                <c:pt idx="13">
                  <c:v>28</c:v>
                </c:pt>
                <c:pt idx="14">
                  <c:v>34</c:v>
                </c:pt>
                <c:pt idx="15">
                  <c:v>37</c:v>
                </c:pt>
                <c:pt idx="16">
                  <c:v>31</c:v>
                </c:pt>
                <c:pt idx="17">
                  <c:v>17</c:v>
                </c:pt>
                <c:pt idx="18">
                  <c:v>9</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4828456"/>
        <c:axId val="39483002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9</c:v>
                </c:pt>
                <c:pt idx="1">
                  <c:v>12</c:v>
                </c:pt>
                <c:pt idx="2">
                  <c:v>17</c:v>
                </c:pt>
                <c:pt idx="3">
                  <c:v>14</c:v>
                </c:pt>
                <c:pt idx="4">
                  <c:v>9</c:v>
                </c:pt>
                <c:pt idx="5">
                  <c:v>8</c:v>
                </c:pt>
                <c:pt idx="6">
                  <c:v>14</c:v>
                </c:pt>
                <c:pt idx="7">
                  <c:v>11</c:v>
                </c:pt>
                <c:pt idx="8">
                  <c:v>13</c:v>
                </c:pt>
                <c:pt idx="9">
                  <c:v>20</c:v>
                </c:pt>
                <c:pt idx="10">
                  <c:v>26</c:v>
                </c:pt>
                <c:pt idx="11">
                  <c:v>31</c:v>
                </c:pt>
                <c:pt idx="12">
                  <c:v>27</c:v>
                </c:pt>
                <c:pt idx="13">
                  <c:v>33</c:v>
                </c:pt>
                <c:pt idx="14">
                  <c:v>40</c:v>
                </c:pt>
                <c:pt idx="15">
                  <c:v>44</c:v>
                </c:pt>
                <c:pt idx="16">
                  <c:v>40</c:v>
                </c:pt>
                <c:pt idx="17">
                  <c:v>33</c:v>
                </c:pt>
                <c:pt idx="18">
                  <c:v>20</c:v>
                </c:pt>
                <c:pt idx="19">
                  <c:v>7</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1832048"/>
        <c:axId val="394831984"/>
      </c:barChart>
      <c:catAx>
        <c:axId val="3948284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830024"/>
        <c:crosses val="autoZero"/>
        <c:auto val="1"/>
        <c:lblAlgn val="ctr"/>
        <c:lblOffset val="100"/>
        <c:noMultiLvlLbl val="0"/>
      </c:catAx>
      <c:valAx>
        <c:axId val="39483002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828456"/>
        <c:crosses val="autoZero"/>
        <c:crossBetween val="between"/>
        <c:majorUnit val="150"/>
      </c:valAx>
      <c:valAx>
        <c:axId val="39483198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32048"/>
        <c:crosses val="max"/>
        <c:crossBetween val="between"/>
        <c:majorUnit val="150"/>
      </c:valAx>
      <c:catAx>
        <c:axId val="461832048"/>
        <c:scaling>
          <c:orientation val="minMax"/>
        </c:scaling>
        <c:delete val="1"/>
        <c:axPos val="l"/>
        <c:numFmt formatCode="General" sourceLinked="1"/>
        <c:majorTickMark val="out"/>
        <c:minorTickMark val="none"/>
        <c:tickLblPos val="nextTo"/>
        <c:crossAx val="3948319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A9C-4AFC-8643-906BCBD44475}"/>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A9C-4AFC-8643-906BCBD4447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6</c:v>
                </c:pt>
                <c:pt idx="1">
                  <c:v>7</c:v>
                </c:pt>
                <c:pt idx="2">
                  <c:v>7</c:v>
                </c:pt>
                <c:pt idx="3">
                  <c:v>6</c:v>
                </c:pt>
                <c:pt idx="4">
                  <c:v>4</c:v>
                </c:pt>
                <c:pt idx="5">
                  <c:v>7</c:v>
                </c:pt>
                <c:pt idx="6">
                  <c:v>7</c:v>
                </c:pt>
                <c:pt idx="7">
                  <c:v>9</c:v>
                </c:pt>
                <c:pt idx="8">
                  <c:v>8</c:v>
                </c:pt>
                <c:pt idx="9">
                  <c:v>11</c:v>
                </c:pt>
                <c:pt idx="10">
                  <c:v>16</c:v>
                </c:pt>
                <c:pt idx="11">
                  <c:v>21</c:v>
                </c:pt>
                <c:pt idx="12">
                  <c:v>22</c:v>
                </c:pt>
                <c:pt idx="13">
                  <c:v>21</c:v>
                </c:pt>
                <c:pt idx="14">
                  <c:v>24</c:v>
                </c:pt>
                <c:pt idx="15">
                  <c:v>24</c:v>
                </c:pt>
                <c:pt idx="16">
                  <c:v>25</c:v>
                </c:pt>
                <c:pt idx="17">
                  <c:v>21</c:v>
                </c:pt>
                <c:pt idx="18">
                  <c:v>10</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1837928"/>
        <c:axId val="46183675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7</c:v>
                </c:pt>
                <c:pt idx="1">
                  <c:v>10</c:v>
                </c:pt>
                <c:pt idx="2">
                  <c:v>12</c:v>
                </c:pt>
                <c:pt idx="3">
                  <c:v>10</c:v>
                </c:pt>
                <c:pt idx="4">
                  <c:v>8</c:v>
                </c:pt>
                <c:pt idx="5">
                  <c:v>8</c:v>
                </c:pt>
                <c:pt idx="6">
                  <c:v>8</c:v>
                </c:pt>
                <c:pt idx="7">
                  <c:v>8</c:v>
                </c:pt>
                <c:pt idx="8">
                  <c:v>14</c:v>
                </c:pt>
                <c:pt idx="9">
                  <c:v>12</c:v>
                </c:pt>
                <c:pt idx="10">
                  <c:v>13</c:v>
                </c:pt>
                <c:pt idx="11">
                  <c:v>19</c:v>
                </c:pt>
                <c:pt idx="12">
                  <c:v>26</c:v>
                </c:pt>
                <c:pt idx="13">
                  <c:v>30</c:v>
                </c:pt>
                <c:pt idx="14">
                  <c:v>26</c:v>
                </c:pt>
                <c:pt idx="15">
                  <c:v>30</c:v>
                </c:pt>
                <c:pt idx="16">
                  <c:v>35</c:v>
                </c:pt>
                <c:pt idx="17">
                  <c:v>34</c:v>
                </c:pt>
                <c:pt idx="18">
                  <c:v>21</c:v>
                </c:pt>
                <c:pt idx="19">
                  <c:v>7</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1837144"/>
        <c:axId val="461831656"/>
      </c:barChart>
      <c:catAx>
        <c:axId val="4618379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36752"/>
        <c:crosses val="autoZero"/>
        <c:auto val="1"/>
        <c:lblAlgn val="ctr"/>
        <c:lblOffset val="100"/>
        <c:noMultiLvlLbl val="0"/>
      </c:catAx>
      <c:valAx>
        <c:axId val="46183675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37928"/>
        <c:crosses val="autoZero"/>
        <c:crossBetween val="between"/>
        <c:majorUnit val="150"/>
      </c:valAx>
      <c:valAx>
        <c:axId val="46183165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37144"/>
        <c:crosses val="max"/>
        <c:crossBetween val="between"/>
        <c:majorUnit val="150"/>
      </c:valAx>
      <c:catAx>
        <c:axId val="461837144"/>
        <c:scaling>
          <c:orientation val="minMax"/>
        </c:scaling>
        <c:delete val="1"/>
        <c:axPos val="l"/>
        <c:numFmt formatCode="General" sourceLinked="1"/>
        <c:majorTickMark val="out"/>
        <c:minorTickMark val="none"/>
        <c:tickLblPos val="nextTo"/>
        <c:crossAx val="4618316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1115</c:v>
                </c:pt>
                <c:pt idx="1">
                  <c:v>1040</c:v>
                </c:pt>
                <c:pt idx="2">
                  <c:v>956</c:v>
                </c:pt>
                <c:pt idx="3">
                  <c:v>860</c:v>
                </c:pt>
                <c:pt idx="4">
                  <c:v>771</c:v>
                </c:pt>
                <c:pt idx="5">
                  <c:v>682</c:v>
                </c:pt>
                <c:pt idx="6">
                  <c:v>594</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BB4B-4016-9DB4-B17448113A7B}"/>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BB4B-4016-9DB4-B17448113A7B}"/>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BB4B-4016-9DB4-B17448113A7B}"/>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BB4B-4016-9DB4-B17448113A7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869</c:v>
                </c:pt>
                <c:pt idx="4" formatCode="#,##0_);[Red]\(#,##0\)">
                  <c:v>790</c:v>
                </c:pt>
                <c:pt idx="5" formatCode="#,##0_);[Red]\(#,##0\)">
                  <c:v>711</c:v>
                </c:pt>
                <c:pt idx="6" formatCode="#,##0_);[Red]\(#,##0\)">
                  <c:v>637</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1837536"/>
        <c:axId val="461832832"/>
      </c:barChart>
      <c:catAx>
        <c:axId val="461837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32832"/>
        <c:crosses val="autoZero"/>
        <c:auto val="1"/>
        <c:lblAlgn val="ctr"/>
        <c:lblOffset val="100"/>
        <c:noMultiLvlLbl val="0"/>
      </c:catAx>
      <c:valAx>
        <c:axId val="4618328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3753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61</c:v>
                </c:pt>
                <c:pt idx="1">
                  <c:v>50</c:v>
                </c:pt>
                <c:pt idx="2">
                  <c:v>45</c:v>
                </c:pt>
                <c:pt idx="3">
                  <c:v>37</c:v>
                </c:pt>
                <c:pt idx="4">
                  <c:v>28</c:v>
                </c:pt>
                <c:pt idx="5">
                  <c:v>24</c:v>
                </c:pt>
                <c:pt idx="6">
                  <c:v>22</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39</c:v>
                </c:pt>
                <c:pt idx="4">
                  <c:v>30</c:v>
                </c:pt>
                <c:pt idx="5">
                  <c:v>29</c:v>
                </c:pt>
                <c:pt idx="6">
                  <c:v>28</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1834792"/>
        <c:axId val="461835576"/>
      </c:barChart>
      <c:catAx>
        <c:axId val="461834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35576"/>
        <c:crosses val="autoZero"/>
        <c:auto val="1"/>
        <c:lblAlgn val="ctr"/>
        <c:lblOffset val="100"/>
        <c:noMultiLvlLbl val="0"/>
      </c:catAx>
      <c:valAx>
        <c:axId val="4618355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34792"/>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0.33</c:v>
                </c:pt>
                <c:pt idx="1">
                  <c:v>0.38</c:v>
                </c:pt>
                <c:pt idx="2">
                  <c:v>0.43</c:v>
                </c:pt>
                <c:pt idx="3">
                  <c:v>0.46</c:v>
                </c:pt>
                <c:pt idx="4">
                  <c:v>0.48</c:v>
                </c:pt>
                <c:pt idx="5">
                  <c:v>0.5</c:v>
                </c:pt>
                <c:pt idx="6">
                  <c:v>0.52</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F27-46CB-B108-74C7CE0E4DA5}"/>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F27-46CB-B108-74C7CE0E4DA5}"/>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F27-46CB-B108-74C7CE0E4DA5}"/>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F27-46CB-B108-74C7CE0E4DA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0.46</c:v>
                </c:pt>
                <c:pt idx="4" formatCode="0%">
                  <c:v>0.47</c:v>
                </c:pt>
                <c:pt idx="5" formatCode="0%">
                  <c:v>0.48</c:v>
                </c:pt>
                <c:pt idx="6" formatCode="0%">
                  <c:v>0.48</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1830872"/>
        <c:axId val="461831264"/>
      </c:barChart>
      <c:catAx>
        <c:axId val="461830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31264"/>
        <c:crosses val="autoZero"/>
        <c:auto val="1"/>
        <c:lblAlgn val="ctr"/>
        <c:lblOffset val="100"/>
        <c:noMultiLvlLbl val="0"/>
      </c:catAx>
      <c:valAx>
        <c:axId val="4618312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3087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0.18</c:v>
                </c:pt>
                <c:pt idx="1">
                  <c:v>0.22</c:v>
                </c:pt>
                <c:pt idx="2">
                  <c:v>0.24</c:v>
                </c:pt>
                <c:pt idx="3">
                  <c:v>0.27</c:v>
                </c:pt>
                <c:pt idx="4">
                  <c:v>0.31</c:v>
                </c:pt>
                <c:pt idx="5">
                  <c:v>0.34</c:v>
                </c:pt>
                <c:pt idx="6">
                  <c:v>0.35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5FF-4E24-9B7A-C4D4AC9C91FB}"/>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5FF-4E24-9B7A-C4D4AC9C91FB}"/>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5FF-4E24-9B7A-C4D4AC9C91FB}"/>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5FF-4E24-9B7A-C4D4AC9C91F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0.27</c:v>
                </c:pt>
                <c:pt idx="4" formatCode="0%">
                  <c:v>0.3</c:v>
                </c:pt>
                <c:pt idx="5" formatCode="0%">
                  <c:v>0.32</c:v>
                </c:pt>
                <c:pt idx="6" formatCode="0%">
                  <c:v>0.32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1833224"/>
        <c:axId val="461833616"/>
      </c:barChart>
      <c:catAx>
        <c:axId val="461833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33616"/>
        <c:crosses val="autoZero"/>
        <c:auto val="1"/>
        <c:lblAlgn val="ctr"/>
        <c:lblOffset val="100"/>
        <c:noMultiLvlLbl val="0"/>
      </c:catAx>
      <c:valAx>
        <c:axId val="4618336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3322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30</c:v>
                </c:pt>
                <c:pt idx="1">
                  <c:v>28</c:v>
                </c:pt>
                <c:pt idx="2">
                  <c:v>23</c:v>
                </c:pt>
                <c:pt idx="3">
                  <c:v>21</c:v>
                </c:pt>
                <c:pt idx="4">
                  <c:v>16</c:v>
                </c:pt>
                <c:pt idx="5">
                  <c:v>13</c:v>
                </c:pt>
                <c:pt idx="6">
                  <c:v>11</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22</c:v>
                </c:pt>
                <c:pt idx="4">
                  <c:v>18</c:v>
                </c:pt>
                <c:pt idx="5">
                  <c:v>15</c:v>
                </c:pt>
                <c:pt idx="6">
                  <c:v>14</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1835184"/>
        <c:axId val="462696048"/>
      </c:barChart>
      <c:catAx>
        <c:axId val="461835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96048"/>
        <c:crosses val="autoZero"/>
        <c:auto val="1"/>
        <c:lblAlgn val="ctr"/>
        <c:lblOffset val="100"/>
        <c:noMultiLvlLbl val="0"/>
      </c:catAx>
      <c:valAx>
        <c:axId val="4626960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35184"/>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30</c:v>
                </c:pt>
                <c:pt idx="1">
                  <c:v>28</c:v>
                </c:pt>
                <c:pt idx="2">
                  <c:v>23</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179905808"/>
        <c:axId val="394826888"/>
      </c:barChart>
      <c:catAx>
        <c:axId val="179905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826888"/>
        <c:crosses val="autoZero"/>
        <c:auto val="1"/>
        <c:lblAlgn val="ctr"/>
        <c:lblOffset val="100"/>
        <c:noMultiLvlLbl val="0"/>
      </c:catAx>
      <c:valAx>
        <c:axId val="3948268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99058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581-4D8C-B7A2-0BE2D6A099D3}"/>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581-4D8C-B7A2-0BE2D6A099D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9</c:v>
                </c:pt>
                <c:pt idx="1">
                  <c:v>9</c:v>
                </c:pt>
                <c:pt idx="2">
                  <c:v>11</c:v>
                </c:pt>
                <c:pt idx="3">
                  <c:v>16</c:v>
                </c:pt>
                <c:pt idx="4">
                  <c:v>8</c:v>
                </c:pt>
                <c:pt idx="5">
                  <c:v>11</c:v>
                </c:pt>
                <c:pt idx="6">
                  <c:v>10</c:v>
                </c:pt>
                <c:pt idx="7">
                  <c:v>11</c:v>
                </c:pt>
                <c:pt idx="8">
                  <c:v>16</c:v>
                </c:pt>
                <c:pt idx="9">
                  <c:v>21</c:v>
                </c:pt>
                <c:pt idx="10">
                  <c:v>23</c:v>
                </c:pt>
                <c:pt idx="11">
                  <c:v>23</c:v>
                </c:pt>
                <c:pt idx="12">
                  <c:v>27</c:v>
                </c:pt>
                <c:pt idx="13">
                  <c:v>28</c:v>
                </c:pt>
                <c:pt idx="14">
                  <c:v>34</c:v>
                </c:pt>
                <c:pt idx="15">
                  <c:v>37</c:v>
                </c:pt>
                <c:pt idx="16">
                  <c:v>31</c:v>
                </c:pt>
                <c:pt idx="17">
                  <c:v>17</c:v>
                </c:pt>
                <c:pt idx="18">
                  <c:v>9</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2693304"/>
        <c:axId val="46269879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11</c:v>
                </c:pt>
                <c:pt idx="1">
                  <c:v>13</c:v>
                </c:pt>
                <c:pt idx="2">
                  <c:v>18</c:v>
                </c:pt>
                <c:pt idx="3">
                  <c:v>15</c:v>
                </c:pt>
                <c:pt idx="4">
                  <c:v>9</c:v>
                </c:pt>
                <c:pt idx="5">
                  <c:v>10</c:v>
                </c:pt>
                <c:pt idx="6">
                  <c:v>16</c:v>
                </c:pt>
                <c:pt idx="7">
                  <c:v>11</c:v>
                </c:pt>
                <c:pt idx="8">
                  <c:v>14</c:v>
                </c:pt>
                <c:pt idx="9">
                  <c:v>21</c:v>
                </c:pt>
                <c:pt idx="10">
                  <c:v>26</c:v>
                </c:pt>
                <c:pt idx="11">
                  <c:v>31</c:v>
                </c:pt>
                <c:pt idx="12">
                  <c:v>27</c:v>
                </c:pt>
                <c:pt idx="13">
                  <c:v>33</c:v>
                </c:pt>
                <c:pt idx="14">
                  <c:v>40</c:v>
                </c:pt>
                <c:pt idx="15">
                  <c:v>44</c:v>
                </c:pt>
                <c:pt idx="16">
                  <c:v>40</c:v>
                </c:pt>
                <c:pt idx="17">
                  <c:v>33</c:v>
                </c:pt>
                <c:pt idx="18">
                  <c:v>20</c:v>
                </c:pt>
                <c:pt idx="19">
                  <c:v>7</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2691344"/>
        <c:axId val="462692912"/>
      </c:barChart>
      <c:catAx>
        <c:axId val="4626933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98792"/>
        <c:crosses val="autoZero"/>
        <c:auto val="1"/>
        <c:lblAlgn val="ctr"/>
        <c:lblOffset val="100"/>
        <c:noMultiLvlLbl val="0"/>
      </c:catAx>
      <c:valAx>
        <c:axId val="46269879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93304"/>
        <c:crosses val="autoZero"/>
        <c:crossBetween val="between"/>
        <c:majorUnit val="150"/>
      </c:valAx>
      <c:valAx>
        <c:axId val="46269291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91344"/>
        <c:crosses val="max"/>
        <c:crossBetween val="between"/>
        <c:majorUnit val="150"/>
      </c:valAx>
      <c:catAx>
        <c:axId val="462691344"/>
        <c:scaling>
          <c:orientation val="minMax"/>
        </c:scaling>
        <c:delete val="1"/>
        <c:axPos val="l"/>
        <c:numFmt formatCode="General" sourceLinked="1"/>
        <c:majorTickMark val="out"/>
        <c:minorTickMark val="none"/>
        <c:tickLblPos val="nextTo"/>
        <c:crossAx val="4626929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083-4702-B758-010D67DC3313}"/>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083-4702-B758-010D67DC331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8</c:v>
                </c:pt>
                <c:pt idx="1">
                  <c:v>9</c:v>
                </c:pt>
                <c:pt idx="2">
                  <c:v>10</c:v>
                </c:pt>
                <c:pt idx="3">
                  <c:v>8</c:v>
                </c:pt>
                <c:pt idx="4">
                  <c:v>4</c:v>
                </c:pt>
                <c:pt idx="5">
                  <c:v>9</c:v>
                </c:pt>
                <c:pt idx="6">
                  <c:v>9</c:v>
                </c:pt>
                <c:pt idx="7">
                  <c:v>11</c:v>
                </c:pt>
                <c:pt idx="8">
                  <c:v>11</c:v>
                </c:pt>
                <c:pt idx="9">
                  <c:v>11</c:v>
                </c:pt>
                <c:pt idx="10">
                  <c:v>16</c:v>
                </c:pt>
                <c:pt idx="11">
                  <c:v>21</c:v>
                </c:pt>
                <c:pt idx="12">
                  <c:v>22</c:v>
                </c:pt>
                <c:pt idx="13">
                  <c:v>21</c:v>
                </c:pt>
                <c:pt idx="14">
                  <c:v>24</c:v>
                </c:pt>
                <c:pt idx="15">
                  <c:v>24</c:v>
                </c:pt>
                <c:pt idx="16">
                  <c:v>25</c:v>
                </c:pt>
                <c:pt idx="17">
                  <c:v>21</c:v>
                </c:pt>
                <c:pt idx="18">
                  <c:v>10</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696832"/>
        <c:axId val="46269369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10</c:v>
                </c:pt>
                <c:pt idx="1">
                  <c:v>13</c:v>
                </c:pt>
                <c:pt idx="2">
                  <c:v>16</c:v>
                </c:pt>
                <c:pt idx="3">
                  <c:v>12</c:v>
                </c:pt>
                <c:pt idx="4">
                  <c:v>8</c:v>
                </c:pt>
                <c:pt idx="5">
                  <c:v>10</c:v>
                </c:pt>
                <c:pt idx="6">
                  <c:v>10</c:v>
                </c:pt>
                <c:pt idx="7">
                  <c:v>10</c:v>
                </c:pt>
                <c:pt idx="8">
                  <c:v>17</c:v>
                </c:pt>
                <c:pt idx="9">
                  <c:v>13</c:v>
                </c:pt>
                <c:pt idx="10">
                  <c:v>15</c:v>
                </c:pt>
                <c:pt idx="11">
                  <c:v>20</c:v>
                </c:pt>
                <c:pt idx="12">
                  <c:v>26</c:v>
                </c:pt>
                <c:pt idx="13">
                  <c:v>30</c:v>
                </c:pt>
                <c:pt idx="14">
                  <c:v>26</c:v>
                </c:pt>
                <c:pt idx="15">
                  <c:v>30</c:v>
                </c:pt>
                <c:pt idx="16">
                  <c:v>35</c:v>
                </c:pt>
                <c:pt idx="17">
                  <c:v>34</c:v>
                </c:pt>
                <c:pt idx="18">
                  <c:v>21</c:v>
                </c:pt>
                <c:pt idx="19">
                  <c:v>7</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694088"/>
        <c:axId val="462692128"/>
      </c:barChart>
      <c:catAx>
        <c:axId val="4626968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93696"/>
        <c:crosses val="autoZero"/>
        <c:auto val="1"/>
        <c:lblAlgn val="ctr"/>
        <c:lblOffset val="100"/>
        <c:noMultiLvlLbl val="0"/>
      </c:catAx>
      <c:valAx>
        <c:axId val="46269369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96832"/>
        <c:crosses val="autoZero"/>
        <c:crossBetween val="between"/>
        <c:majorUnit val="150"/>
      </c:valAx>
      <c:valAx>
        <c:axId val="46269212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94088"/>
        <c:crosses val="max"/>
        <c:crossBetween val="between"/>
        <c:majorUnit val="150"/>
      </c:valAx>
      <c:catAx>
        <c:axId val="462694088"/>
        <c:scaling>
          <c:orientation val="minMax"/>
        </c:scaling>
        <c:delete val="1"/>
        <c:axPos val="l"/>
        <c:numFmt formatCode="General" sourceLinked="1"/>
        <c:majorTickMark val="out"/>
        <c:minorTickMark val="none"/>
        <c:tickLblPos val="nextTo"/>
        <c:crossAx val="4626921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20"/>
              <c:layout>
                <c:manualLayout>
                  <c:x val="1.6628354936892066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72B-4E6D-9EC4-013D66BFEF2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17</c:v>
                </c:pt>
                <c:pt idx="1">
                  <c:v>20</c:v>
                </c:pt>
                <c:pt idx="2">
                  <c:v>27</c:v>
                </c:pt>
                <c:pt idx="3">
                  <c:v>29</c:v>
                </c:pt>
                <c:pt idx="4">
                  <c:v>17</c:v>
                </c:pt>
                <c:pt idx="5">
                  <c:v>17</c:v>
                </c:pt>
                <c:pt idx="6">
                  <c:v>22</c:v>
                </c:pt>
                <c:pt idx="7">
                  <c:v>22</c:v>
                </c:pt>
                <c:pt idx="8">
                  <c:v>29</c:v>
                </c:pt>
                <c:pt idx="9">
                  <c:v>41</c:v>
                </c:pt>
                <c:pt idx="10">
                  <c:v>49</c:v>
                </c:pt>
                <c:pt idx="11">
                  <c:v>54</c:v>
                </c:pt>
                <c:pt idx="12">
                  <c:v>54</c:v>
                </c:pt>
                <c:pt idx="13">
                  <c:v>61</c:v>
                </c:pt>
                <c:pt idx="14">
                  <c:v>74</c:v>
                </c:pt>
                <c:pt idx="15">
                  <c:v>81</c:v>
                </c:pt>
                <c:pt idx="16">
                  <c:v>71</c:v>
                </c:pt>
                <c:pt idx="17">
                  <c:v>50</c:v>
                </c:pt>
                <c:pt idx="18">
                  <c:v>29</c:v>
                </c:pt>
                <c:pt idx="19">
                  <c:v>7</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694872"/>
        <c:axId val="46269526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20</c:v>
                </c:pt>
                <c:pt idx="1">
                  <c:v>22</c:v>
                </c:pt>
                <c:pt idx="2">
                  <c:v>29</c:v>
                </c:pt>
                <c:pt idx="3">
                  <c:v>31</c:v>
                </c:pt>
                <c:pt idx="4">
                  <c:v>17</c:v>
                </c:pt>
                <c:pt idx="5">
                  <c:v>21</c:v>
                </c:pt>
                <c:pt idx="6">
                  <c:v>26</c:v>
                </c:pt>
                <c:pt idx="7">
                  <c:v>22</c:v>
                </c:pt>
                <c:pt idx="8">
                  <c:v>30</c:v>
                </c:pt>
                <c:pt idx="9">
                  <c:v>42</c:v>
                </c:pt>
                <c:pt idx="10">
                  <c:v>49</c:v>
                </c:pt>
                <c:pt idx="11">
                  <c:v>54</c:v>
                </c:pt>
                <c:pt idx="12">
                  <c:v>54</c:v>
                </c:pt>
                <c:pt idx="13">
                  <c:v>61</c:v>
                </c:pt>
                <c:pt idx="14">
                  <c:v>74</c:v>
                </c:pt>
                <c:pt idx="15">
                  <c:v>81</c:v>
                </c:pt>
                <c:pt idx="16">
                  <c:v>71</c:v>
                </c:pt>
                <c:pt idx="17">
                  <c:v>50</c:v>
                </c:pt>
                <c:pt idx="18">
                  <c:v>29</c:v>
                </c:pt>
                <c:pt idx="19">
                  <c:v>7</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695656"/>
        <c:axId val="462698400"/>
      </c:barChart>
      <c:catAx>
        <c:axId val="4626948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95264"/>
        <c:crosses val="autoZero"/>
        <c:auto val="1"/>
        <c:lblAlgn val="ctr"/>
        <c:lblOffset val="100"/>
        <c:noMultiLvlLbl val="0"/>
      </c:catAx>
      <c:valAx>
        <c:axId val="46269526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94872"/>
        <c:crosses val="autoZero"/>
        <c:crossBetween val="between"/>
        <c:majorUnit val="250"/>
      </c:valAx>
      <c:valAx>
        <c:axId val="46269840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95656"/>
        <c:crosses val="max"/>
        <c:crossBetween val="between"/>
        <c:majorUnit val="250"/>
      </c:valAx>
      <c:catAx>
        <c:axId val="462695656"/>
        <c:scaling>
          <c:orientation val="minMax"/>
        </c:scaling>
        <c:delete val="1"/>
        <c:axPos val="l"/>
        <c:numFmt formatCode="General" sourceLinked="1"/>
        <c:majorTickMark val="out"/>
        <c:minorTickMark val="none"/>
        <c:tickLblPos val="nextTo"/>
        <c:crossAx val="46269840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13</c:v>
                </c:pt>
                <c:pt idx="1">
                  <c:v>17</c:v>
                </c:pt>
                <c:pt idx="2">
                  <c:v>19</c:v>
                </c:pt>
                <c:pt idx="3">
                  <c:v>16</c:v>
                </c:pt>
                <c:pt idx="4">
                  <c:v>12</c:v>
                </c:pt>
                <c:pt idx="5">
                  <c:v>15</c:v>
                </c:pt>
                <c:pt idx="6">
                  <c:v>15</c:v>
                </c:pt>
                <c:pt idx="7">
                  <c:v>17</c:v>
                </c:pt>
                <c:pt idx="8">
                  <c:v>22</c:v>
                </c:pt>
                <c:pt idx="9">
                  <c:v>23</c:v>
                </c:pt>
                <c:pt idx="10">
                  <c:v>29</c:v>
                </c:pt>
                <c:pt idx="11">
                  <c:v>40</c:v>
                </c:pt>
                <c:pt idx="12">
                  <c:v>48</c:v>
                </c:pt>
                <c:pt idx="13">
                  <c:v>51</c:v>
                </c:pt>
                <c:pt idx="14">
                  <c:v>50</c:v>
                </c:pt>
                <c:pt idx="15">
                  <c:v>54</c:v>
                </c:pt>
                <c:pt idx="16">
                  <c:v>60</c:v>
                </c:pt>
                <c:pt idx="17">
                  <c:v>55</c:v>
                </c:pt>
                <c:pt idx="18">
                  <c:v>31</c:v>
                </c:pt>
                <c:pt idx="19">
                  <c:v>7</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697616"/>
        <c:axId val="46269173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18</c:v>
                </c:pt>
                <c:pt idx="1">
                  <c:v>22</c:v>
                </c:pt>
                <c:pt idx="2">
                  <c:v>26</c:v>
                </c:pt>
                <c:pt idx="3">
                  <c:v>20</c:v>
                </c:pt>
                <c:pt idx="4">
                  <c:v>12</c:v>
                </c:pt>
                <c:pt idx="5">
                  <c:v>19</c:v>
                </c:pt>
                <c:pt idx="6">
                  <c:v>19</c:v>
                </c:pt>
                <c:pt idx="7">
                  <c:v>21</c:v>
                </c:pt>
                <c:pt idx="8">
                  <c:v>28</c:v>
                </c:pt>
                <c:pt idx="9">
                  <c:v>24</c:v>
                </c:pt>
                <c:pt idx="10">
                  <c:v>31</c:v>
                </c:pt>
                <c:pt idx="11">
                  <c:v>41</c:v>
                </c:pt>
                <c:pt idx="12">
                  <c:v>48</c:v>
                </c:pt>
                <c:pt idx="13">
                  <c:v>51</c:v>
                </c:pt>
                <c:pt idx="14">
                  <c:v>50</c:v>
                </c:pt>
                <c:pt idx="15">
                  <c:v>54</c:v>
                </c:pt>
                <c:pt idx="16">
                  <c:v>60</c:v>
                </c:pt>
                <c:pt idx="17">
                  <c:v>55</c:v>
                </c:pt>
                <c:pt idx="18">
                  <c:v>31</c:v>
                </c:pt>
                <c:pt idx="19">
                  <c:v>7</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967248"/>
        <c:axId val="462698008"/>
      </c:barChart>
      <c:catAx>
        <c:axId val="4626976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91736"/>
        <c:crosses val="autoZero"/>
        <c:auto val="1"/>
        <c:lblAlgn val="ctr"/>
        <c:lblOffset val="100"/>
        <c:noMultiLvlLbl val="0"/>
      </c:catAx>
      <c:valAx>
        <c:axId val="46269173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97616"/>
        <c:crosses val="autoZero"/>
        <c:crossBetween val="between"/>
        <c:majorUnit val="250"/>
      </c:valAx>
      <c:valAx>
        <c:axId val="46269800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67248"/>
        <c:crosses val="max"/>
        <c:crossBetween val="between"/>
        <c:majorUnit val="250"/>
      </c:valAx>
      <c:catAx>
        <c:axId val="462967248"/>
        <c:scaling>
          <c:orientation val="minMax"/>
        </c:scaling>
        <c:delete val="1"/>
        <c:axPos val="l"/>
        <c:numFmt formatCode="General" sourceLinked="1"/>
        <c:majorTickMark val="out"/>
        <c:minorTickMark val="none"/>
        <c:tickLblPos val="nextTo"/>
        <c:crossAx val="46269800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永久津中学校区</c:v>
                </c:pt>
              </c:strCache>
            </c:strRef>
          </c:cat>
          <c:val>
            <c:numRef>
              <c:f>管理者用地域特徴シート!$H$3:$H$5</c:f>
              <c:numCache>
                <c:formatCode>0.0%</c:formatCode>
                <c:ptCount val="3"/>
                <c:pt idx="0">
                  <c:v>0.46108733927332846</c:v>
                </c:pt>
                <c:pt idx="1">
                  <c:v>0.52369717940652194</c:v>
                </c:pt>
                <c:pt idx="2">
                  <c:v>0.62716981132075467</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2969992"/>
        <c:axId val="462973912"/>
      </c:barChart>
      <c:catAx>
        <c:axId val="4629699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73912"/>
        <c:crosses val="autoZero"/>
        <c:auto val="1"/>
        <c:lblAlgn val="ctr"/>
        <c:lblOffset val="100"/>
        <c:noMultiLvlLbl val="0"/>
      </c:catAx>
      <c:valAx>
        <c:axId val="4629739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699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永久津中学校区</c:v>
                </c:pt>
              </c:strCache>
            </c:strRef>
          </c:cat>
          <c:val>
            <c:numRef>
              <c:f>管理者用地域特徴シート!$J$3:$J$5</c:f>
              <c:numCache>
                <c:formatCode>0.0%</c:formatCode>
                <c:ptCount val="3"/>
                <c:pt idx="0">
                  <c:v>0.15075281438403673</c:v>
                </c:pt>
                <c:pt idx="1">
                  <c:v>0.1831812939079375</c:v>
                </c:pt>
                <c:pt idx="2">
                  <c:v>0.2</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2974304"/>
        <c:axId val="462967640"/>
      </c:barChart>
      <c:catAx>
        <c:axId val="4629743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67640"/>
        <c:crosses val="autoZero"/>
        <c:auto val="1"/>
        <c:lblAlgn val="ctr"/>
        <c:lblOffset val="100"/>
        <c:noMultiLvlLbl val="0"/>
      </c:catAx>
      <c:valAx>
        <c:axId val="4629676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743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永久津中学校区</c:v>
                </c:pt>
              </c:strCache>
            </c:strRef>
          </c:cat>
          <c:val>
            <c:numRef>
              <c:f>管理者用地域特徴シート!$P$3:$P$5</c:f>
              <c:numCache>
                <c:formatCode>0.0%</c:formatCode>
                <c:ptCount val="3"/>
                <c:pt idx="0">
                  <c:v>0.34758352842621743</c:v>
                </c:pt>
                <c:pt idx="1">
                  <c:v>0.33377604762995189</c:v>
                </c:pt>
                <c:pt idx="2">
                  <c:v>0.23843976093111041</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2969600"/>
        <c:axId val="462972344"/>
      </c:barChart>
      <c:catAx>
        <c:axId val="4629696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72344"/>
        <c:crosses val="autoZero"/>
        <c:auto val="1"/>
        <c:lblAlgn val="ctr"/>
        <c:lblOffset val="100"/>
        <c:noMultiLvlLbl val="0"/>
      </c:catAx>
      <c:valAx>
        <c:axId val="4629723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696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永久津中学校区</c:v>
                </c:pt>
              </c:strCache>
            </c:strRef>
          </c:cat>
          <c:val>
            <c:numRef>
              <c:f>管理者用地域特徴シート!$AO$3:$AO$5</c:f>
              <c:numCache>
                <c:formatCode>0.0%</c:formatCode>
                <c:ptCount val="3"/>
                <c:pt idx="0">
                  <c:v>0.5259093009439566</c:v>
                </c:pt>
                <c:pt idx="1">
                  <c:v>0.53970016657412545</c:v>
                </c:pt>
                <c:pt idx="2">
                  <c:v>0.59100642398286951</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2970776"/>
        <c:axId val="462971168"/>
      </c:barChart>
      <c:catAx>
        <c:axId val="4629707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71168"/>
        <c:crosses val="autoZero"/>
        <c:auto val="1"/>
        <c:lblAlgn val="ctr"/>
        <c:lblOffset val="100"/>
        <c:noMultiLvlLbl val="0"/>
      </c:catAx>
      <c:valAx>
        <c:axId val="4629711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707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永久津中学校区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0.30432060112711334</c:v>
                </c:pt>
                <c:pt idx="1">
                  <c:v>0</c:v>
                </c:pt>
                <c:pt idx="2">
                  <c:v>0</c:v>
                </c:pt>
                <c:pt idx="3">
                  <c:v>9.2673763306199128E-2</c:v>
                </c:pt>
                <c:pt idx="4">
                  <c:v>0.11521603005635567</c:v>
                </c:pt>
                <c:pt idx="5">
                  <c:v>1.2523481527864746E-3</c:v>
                </c:pt>
                <c:pt idx="6">
                  <c:v>0</c:v>
                </c:pt>
                <c:pt idx="7">
                  <c:v>3.0056355666875392E-2</c:v>
                </c:pt>
                <c:pt idx="8">
                  <c:v>9.142141515341265E-2</c:v>
                </c:pt>
                <c:pt idx="9">
                  <c:v>8.7664370695053236E-3</c:v>
                </c:pt>
                <c:pt idx="10">
                  <c:v>9.392611145898561E-3</c:v>
                </c:pt>
                <c:pt idx="11">
                  <c:v>1.2523481527864748E-2</c:v>
                </c:pt>
                <c:pt idx="12">
                  <c:v>2.6925485284909206E-2</c:v>
                </c:pt>
                <c:pt idx="13">
                  <c:v>2.2542266750156543E-2</c:v>
                </c:pt>
                <c:pt idx="14">
                  <c:v>2.0037570444583593E-2</c:v>
                </c:pt>
                <c:pt idx="15">
                  <c:v>0.1646837820914214</c:v>
                </c:pt>
                <c:pt idx="16">
                  <c:v>1.7532874139010647E-2</c:v>
                </c:pt>
                <c:pt idx="17">
                  <c:v>3.6318096430807766E-2</c:v>
                </c:pt>
                <c:pt idx="18">
                  <c:v>2.8177833437695681E-2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小林市平均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0.18870316461639591</c:v>
                </c:pt>
                <c:pt idx="1">
                  <c:v>2.8171659310733402E-4</c:v>
                </c:pt>
                <c:pt idx="2">
                  <c:v>2.3476382758944503E-4</c:v>
                </c:pt>
                <c:pt idx="3">
                  <c:v>8.2167339656305752E-2</c:v>
                </c:pt>
                <c:pt idx="4">
                  <c:v>0.11207625129120105</c:v>
                </c:pt>
                <c:pt idx="5">
                  <c:v>1.4555357310545591E-3</c:v>
                </c:pt>
                <c:pt idx="6">
                  <c:v>2.2537327448586717E-3</c:v>
                </c:pt>
                <c:pt idx="7">
                  <c:v>2.8218612076251291E-2</c:v>
                </c:pt>
                <c:pt idx="8">
                  <c:v>0.12897924687764109</c:v>
                </c:pt>
                <c:pt idx="9">
                  <c:v>1.2536388393276364E-2</c:v>
                </c:pt>
                <c:pt idx="10">
                  <c:v>7.4185369518264621E-3</c:v>
                </c:pt>
                <c:pt idx="11">
                  <c:v>1.788900366231571E-2</c:v>
                </c:pt>
                <c:pt idx="12">
                  <c:v>4.1647103014367547E-2</c:v>
                </c:pt>
                <c:pt idx="13">
                  <c:v>3.1833975021128745E-2</c:v>
                </c:pt>
                <c:pt idx="14">
                  <c:v>3.7562212414311201E-2</c:v>
                </c:pt>
                <c:pt idx="15">
                  <c:v>0.18457132125082168</c:v>
                </c:pt>
                <c:pt idx="16">
                  <c:v>1.7607287069208378E-2</c:v>
                </c:pt>
                <c:pt idx="17">
                  <c:v>4.6718001690299556E-2</c:v>
                </c:pt>
                <c:pt idx="18">
                  <c:v>4.6436285097192227E-2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2971952"/>
        <c:axId val="462972736"/>
      </c:barChart>
      <c:catAx>
        <c:axId val="462971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72736"/>
        <c:crosses val="autoZero"/>
        <c:auto val="1"/>
        <c:lblAlgn val="ctr"/>
        <c:lblOffset val="100"/>
        <c:noMultiLvlLbl val="0"/>
      </c:catAx>
      <c:valAx>
        <c:axId val="46297273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71952"/>
        <c:crosses val="autoZero"/>
        <c:crossBetween val="between"/>
      </c:valAx>
      <c:spPr>
        <a:noFill/>
        <a:ln>
          <a:noFill/>
        </a:ln>
        <a:effectLst/>
      </c:spPr>
    </c:plotArea>
    <c:legend>
      <c:legendPos val="b"/>
      <c:layout>
        <c:manualLayout>
          <c:xMode val="edge"/>
          <c:yMode val="edge"/>
          <c:x val="0.5476894754352889"/>
          <c:y val="9.103322298200318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永久津中学校区</c:v>
                </c:pt>
              </c:strCache>
            </c:strRef>
          </c:cat>
          <c:val>
            <c:numRef>
              <c:f>管理者用地域特徴シート!$CK$3:$CK$5</c:f>
              <c:numCache>
                <c:formatCode>0.0%</c:formatCode>
                <c:ptCount val="3"/>
                <c:pt idx="0">
                  <c:v>0.82747216160708559</c:v>
                </c:pt>
                <c:pt idx="1">
                  <c:v>0.8212977744389145</c:v>
                </c:pt>
                <c:pt idx="2">
                  <c:v>0.81778334376956785</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2969208"/>
        <c:axId val="462973520"/>
      </c:barChart>
      <c:catAx>
        <c:axId val="4629692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73520"/>
        <c:crosses val="autoZero"/>
        <c:auto val="1"/>
        <c:lblAlgn val="ctr"/>
        <c:lblOffset val="100"/>
        <c:noMultiLvlLbl val="0"/>
      </c:catAx>
      <c:valAx>
        <c:axId val="4629735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692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0.33</c:v>
                </c:pt>
                <c:pt idx="1">
                  <c:v>0.38</c:v>
                </c:pt>
                <c:pt idx="2">
                  <c:v>0.43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4826496"/>
        <c:axId val="394828064"/>
      </c:barChart>
      <c:catAx>
        <c:axId val="394826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828064"/>
        <c:crosses val="autoZero"/>
        <c:auto val="1"/>
        <c:lblAlgn val="ctr"/>
        <c:lblOffset val="100"/>
        <c:noMultiLvlLbl val="0"/>
      </c:catAx>
      <c:valAx>
        <c:axId val="3948280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8264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0.18</c:v>
                </c:pt>
                <c:pt idx="1">
                  <c:v>0.22</c:v>
                </c:pt>
                <c:pt idx="2">
                  <c:v>0.24</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4827280"/>
        <c:axId val="394832768"/>
      </c:barChart>
      <c:catAx>
        <c:axId val="394827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832768"/>
        <c:crosses val="autoZero"/>
        <c:auto val="1"/>
        <c:lblAlgn val="ctr"/>
        <c:lblOffset val="100"/>
        <c:noMultiLvlLbl val="0"/>
      </c:catAx>
      <c:valAx>
        <c:axId val="3948327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8272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07255605213823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FC2-4B11-B73E-D2321FC73019}"/>
                </c:ext>
                <c:ext xmlns:c15="http://schemas.microsoft.com/office/drawing/2012/chart" uri="{CE6537A1-D6FC-4f65-9D91-7224C49458BB}"/>
              </c:extLst>
            </c:dLbl>
            <c:dLbl>
              <c:idx val="20"/>
              <c:layout>
                <c:manualLayout>
                  <c:x val="-3.9053354285533491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FC2-4B11-B73E-D2321FC730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25</c:v>
                </c:pt>
                <c:pt idx="1">
                  <c:v>27</c:v>
                </c:pt>
                <c:pt idx="2">
                  <c:v>25</c:v>
                </c:pt>
                <c:pt idx="3">
                  <c:v>23</c:v>
                </c:pt>
                <c:pt idx="4">
                  <c:v>15</c:v>
                </c:pt>
                <c:pt idx="5">
                  <c:v>19</c:v>
                </c:pt>
                <c:pt idx="6">
                  <c:v>23</c:v>
                </c:pt>
                <c:pt idx="7">
                  <c:v>20</c:v>
                </c:pt>
                <c:pt idx="8">
                  <c:v>32</c:v>
                </c:pt>
                <c:pt idx="9">
                  <c:v>30</c:v>
                </c:pt>
                <c:pt idx="10">
                  <c:v>43</c:v>
                </c:pt>
                <c:pt idx="11">
                  <c:v>46</c:v>
                </c:pt>
                <c:pt idx="12">
                  <c:v>46</c:v>
                </c:pt>
                <c:pt idx="13">
                  <c:v>36</c:v>
                </c:pt>
                <c:pt idx="14">
                  <c:v>41</c:v>
                </c:pt>
                <c:pt idx="15">
                  <c:v>38</c:v>
                </c:pt>
                <c:pt idx="16">
                  <c:v>27</c:v>
                </c:pt>
                <c:pt idx="17">
                  <c:v>10</c:v>
                </c:pt>
                <c:pt idx="18">
                  <c:v>3</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4828848"/>
        <c:axId val="39482610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16</c:v>
                </c:pt>
                <c:pt idx="1">
                  <c:v>20</c:v>
                </c:pt>
                <c:pt idx="2">
                  <c:v>30</c:v>
                </c:pt>
                <c:pt idx="3">
                  <c:v>20</c:v>
                </c:pt>
                <c:pt idx="4">
                  <c:v>17</c:v>
                </c:pt>
                <c:pt idx="5">
                  <c:v>18</c:v>
                </c:pt>
                <c:pt idx="6">
                  <c:v>26</c:v>
                </c:pt>
                <c:pt idx="7">
                  <c:v>25</c:v>
                </c:pt>
                <c:pt idx="8">
                  <c:v>27</c:v>
                </c:pt>
                <c:pt idx="9">
                  <c:v>36</c:v>
                </c:pt>
                <c:pt idx="10">
                  <c:v>40</c:v>
                </c:pt>
                <c:pt idx="11">
                  <c:v>49</c:v>
                </c:pt>
                <c:pt idx="12">
                  <c:v>44</c:v>
                </c:pt>
                <c:pt idx="13">
                  <c:v>48</c:v>
                </c:pt>
                <c:pt idx="14">
                  <c:v>42</c:v>
                </c:pt>
                <c:pt idx="15">
                  <c:v>46</c:v>
                </c:pt>
                <c:pt idx="16">
                  <c:v>37</c:v>
                </c:pt>
                <c:pt idx="17">
                  <c:v>26</c:v>
                </c:pt>
                <c:pt idx="18">
                  <c:v>14</c:v>
                </c:pt>
                <c:pt idx="19">
                  <c:v>5</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4830416"/>
        <c:axId val="394829632"/>
      </c:barChart>
      <c:catAx>
        <c:axId val="3948288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826104"/>
        <c:crosses val="autoZero"/>
        <c:auto val="1"/>
        <c:lblAlgn val="ctr"/>
        <c:lblOffset val="100"/>
        <c:noMultiLvlLbl val="0"/>
      </c:catAx>
      <c:valAx>
        <c:axId val="39482610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828848"/>
        <c:crosses val="autoZero"/>
        <c:crossBetween val="between"/>
        <c:majorUnit val="150"/>
      </c:valAx>
      <c:valAx>
        <c:axId val="39482963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830416"/>
        <c:crosses val="max"/>
        <c:crossBetween val="between"/>
        <c:majorUnit val="150"/>
      </c:valAx>
      <c:catAx>
        <c:axId val="394830416"/>
        <c:scaling>
          <c:orientation val="minMax"/>
        </c:scaling>
        <c:delete val="1"/>
        <c:axPos val="l"/>
        <c:numFmt formatCode="General" sourceLinked="1"/>
        <c:majorTickMark val="out"/>
        <c:minorTickMark val="none"/>
        <c:tickLblPos val="nextTo"/>
        <c:crossAx val="3948296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529</c:v>
                </c:pt>
                <c:pt idx="1">
                  <c:v>483</c:v>
                </c:pt>
                <c:pt idx="2">
                  <c:v>444</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586</c:v>
                </c:pt>
                <c:pt idx="1">
                  <c:v>557</c:v>
                </c:pt>
                <c:pt idx="2">
                  <c:v>512</c:v>
                </c:pt>
              </c:numCache>
            </c:numRef>
          </c:val>
          <c:extLst xmlns:c16r2="http://schemas.microsoft.com/office/drawing/2015/06/chart">
            <c:ext xmlns:c16="http://schemas.microsoft.com/office/drawing/2014/chart" uri="{C3380CC4-5D6E-409C-BE32-E72D297353CC}">
              <c16:uniqueId val="{00000000-D900-4055-AC90-803DD823FEA1}"/>
            </c:ext>
          </c:extLst>
        </c:ser>
        <c:dLbls>
          <c:showLegendKey val="0"/>
          <c:showVal val="0"/>
          <c:showCatName val="0"/>
          <c:showSerName val="0"/>
          <c:showPercent val="0"/>
          <c:showBubbleSize val="0"/>
        </c:dLbls>
        <c:gapWidth val="219"/>
        <c:overlap val="100"/>
        <c:axId val="394832376"/>
        <c:axId val="39483159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5.3450815957405057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900-4055-AC90-803DD823FEA1}"/>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1115</c:v>
                </c:pt>
                <c:pt idx="1">
                  <c:v>1040</c:v>
                </c:pt>
                <c:pt idx="2">
                  <c:v>956</c:v>
                </c:pt>
              </c:numCache>
            </c:numRef>
          </c:val>
          <c:smooth val="0"/>
          <c:extLst xmlns:c16r2="http://schemas.microsoft.com/office/drawing/2015/06/chart">
            <c:ext xmlns:c16="http://schemas.microsoft.com/office/drawing/2014/chart" uri="{C3380CC4-5D6E-409C-BE32-E72D297353CC}">
              <c16:uniqueId val="{00000002-D900-4055-AC90-803DD823FEA1}"/>
            </c:ext>
          </c:extLst>
        </c:ser>
        <c:dLbls>
          <c:showLegendKey val="0"/>
          <c:showVal val="0"/>
          <c:showCatName val="0"/>
          <c:showSerName val="0"/>
          <c:showPercent val="0"/>
          <c:showBubbleSize val="0"/>
        </c:dLbls>
        <c:marker val="1"/>
        <c:smooth val="0"/>
        <c:axId val="394832376"/>
        <c:axId val="394831592"/>
      </c:lineChart>
      <c:catAx>
        <c:axId val="394832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831592"/>
        <c:crosses val="autoZero"/>
        <c:auto val="1"/>
        <c:lblAlgn val="ctr"/>
        <c:lblOffset val="100"/>
        <c:noMultiLvlLbl val="0"/>
      </c:catAx>
      <c:valAx>
        <c:axId val="3948315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83237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60A-446D-8E84-24887FBD2064}"/>
                </c:ext>
                <c:ext xmlns:c15="http://schemas.microsoft.com/office/drawing/2012/chart" uri="{CE6537A1-D6FC-4f65-9D91-7224C49458BB}"/>
              </c:extLst>
            </c:dLbl>
            <c:dLbl>
              <c:idx val="20"/>
              <c:layout>
                <c:manualLayout>
                  <c:x val="-3.6946888930098752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60A-446D-8E84-24887FBD206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11</c:v>
                </c:pt>
                <c:pt idx="1">
                  <c:v>19</c:v>
                </c:pt>
                <c:pt idx="2">
                  <c:v>20</c:v>
                </c:pt>
                <c:pt idx="3">
                  <c:v>19</c:v>
                </c:pt>
                <c:pt idx="4">
                  <c:v>9</c:v>
                </c:pt>
                <c:pt idx="5">
                  <c:v>11</c:v>
                </c:pt>
                <c:pt idx="6">
                  <c:v>15</c:v>
                </c:pt>
                <c:pt idx="7">
                  <c:v>20</c:v>
                </c:pt>
                <c:pt idx="8">
                  <c:v>23</c:v>
                </c:pt>
                <c:pt idx="9">
                  <c:v>23</c:v>
                </c:pt>
                <c:pt idx="10">
                  <c:v>29</c:v>
                </c:pt>
                <c:pt idx="11">
                  <c:v>30</c:v>
                </c:pt>
                <c:pt idx="12">
                  <c:v>39</c:v>
                </c:pt>
                <c:pt idx="13">
                  <c:v>42</c:v>
                </c:pt>
                <c:pt idx="14">
                  <c:v>42</c:v>
                </c:pt>
                <c:pt idx="15">
                  <c:v>31</c:v>
                </c:pt>
                <c:pt idx="16">
                  <c:v>29</c:v>
                </c:pt>
                <c:pt idx="17">
                  <c:v>22</c:v>
                </c:pt>
                <c:pt idx="18">
                  <c:v>10</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539472"/>
        <c:axId val="39854182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13</c:v>
                </c:pt>
                <c:pt idx="1">
                  <c:v>17</c:v>
                </c:pt>
                <c:pt idx="2">
                  <c:v>20</c:v>
                </c:pt>
                <c:pt idx="3">
                  <c:v>16</c:v>
                </c:pt>
                <c:pt idx="4">
                  <c:v>16</c:v>
                </c:pt>
                <c:pt idx="5">
                  <c:v>11</c:v>
                </c:pt>
                <c:pt idx="6">
                  <c:v>13</c:v>
                </c:pt>
                <c:pt idx="7">
                  <c:v>18</c:v>
                </c:pt>
                <c:pt idx="8">
                  <c:v>25</c:v>
                </c:pt>
                <c:pt idx="9">
                  <c:v>31</c:v>
                </c:pt>
                <c:pt idx="10">
                  <c:v>27</c:v>
                </c:pt>
                <c:pt idx="11">
                  <c:v>33</c:v>
                </c:pt>
                <c:pt idx="12">
                  <c:v>41</c:v>
                </c:pt>
                <c:pt idx="13">
                  <c:v>48</c:v>
                </c:pt>
                <c:pt idx="14">
                  <c:v>44</c:v>
                </c:pt>
                <c:pt idx="15">
                  <c:v>43</c:v>
                </c:pt>
                <c:pt idx="16">
                  <c:v>38</c:v>
                </c:pt>
                <c:pt idx="17">
                  <c:v>33</c:v>
                </c:pt>
                <c:pt idx="18">
                  <c:v>17</c:v>
                </c:pt>
                <c:pt idx="19">
                  <c:v>6</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544960"/>
        <c:axId val="398537904"/>
      </c:barChart>
      <c:catAx>
        <c:axId val="3985394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1824"/>
        <c:crosses val="autoZero"/>
        <c:auto val="1"/>
        <c:lblAlgn val="ctr"/>
        <c:lblOffset val="100"/>
        <c:noMultiLvlLbl val="0"/>
      </c:catAx>
      <c:valAx>
        <c:axId val="39854182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39472"/>
        <c:crosses val="autoZero"/>
        <c:crossBetween val="between"/>
        <c:majorUnit val="150"/>
      </c:valAx>
      <c:valAx>
        <c:axId val="39853790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4960"/>
        <c:crosses val="max"/>
        <c:crossBetween val="between"/>
        <c:majorUnit val="150"/>
      </c:valAx>
      <c:catAx>
        <c:axId val="398544960"/>
        <c:scaling>
          <c:orientation val="minMax"/>
        </c:scaling>
        <c:delete val="1"/>
        <c:axPos val="l"/>
        <c:numFmt formatCode="General" sourceLinked="1"/>
        <c:majorTickMark val="out"/>
        <c:minorTickMark val="none"/>
        <c:tickLblPos val="nextTo"/>
        <c:crossAx val="3985379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06A7-4629-A0B3-CB6A76731642}"/>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06A7-4629-A0B3-CB6A76731642}"/>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06A7-4629-A0B3-CB6A76731642}"/>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6A7-4629-A0B3-CB6A76731642}"/>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6A7-4629-A0B3-CB6A76731642}"/>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529</c:v>
                </c:pt>
                <c:pt idx="1">
                  <c:v>483</c:v>
                </c:pt>
                <c:pt idx="2">
                  <c:v>444</c:v>
                </c:pt>
                <c:pt idx="3">
                  <c:v>393</c:v>
                </c:pt>
                <c:pt idx="4">
                  <c:v>343</c:v>
                </c:pt>
                <c:pt idx="5">
                  <c:v>299</c:v>
                </c:pt>
                <c:pt idx="6">
                  <c:v>256</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06A7-4629-A0B3-CB6A76731642}"/>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06A7-4629-A0B3-CB6A76731642}"/>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06A7-4629-A0B3-CB6A76731642}"/>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586</c:v>
                </c:pt>
                <c:pt idx="1">
                  <c:v>557</c:v>
                </c:pt>
                <c:pt idx="2">
                  <c:v>512</c:v>
                </c:pt>
                <c:pt idx="3">
                  <c:v>467</c:v>
                </c:pt>
                <c:pt idx="4">
                  <c:v>428</c:v>
                </c:pt>
                <c:pt idx="5">
                  <c:v>383</c:v>
                </c:pt>
                <c:pt idx="6">
                  <c:v>338</c:v>
                </c:pt>
              </c:numCache>
            </c:numRef>
          </c:val>
          <c:extLst xmlns:c16r2="http://schemas.microsoft.com/office/drawing/2015/06/chart">
            <c:ext xmlns:c16="http://schemas.microsoft.com/office/drawing/2014/chart" uri="{C3380CC4-5D6E-409C-BE32-E72D297353CC}">
              <c16:uniqueId val="{00000010-06A7-4629-A0B3-CB6A76731642}"/>
            </c:ext>
          </c:extLst>
        </c:ser>
        <c:dLbls>
          <c:showLegendKey val="0"/>
          <c:showVal val="0"/>
          <c:showCatName val="0"/>
          <c:showSerName val="0"/>
          <c:showPercent val="0"/>
          <c:showBubbleSize val="0"/>
        </c:dLbls>
        <c:gapWidth val="219"/>
        <c:overlap val="100"/>
        <c:axId val="398538296"/>
        <c:axId val="39853986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1115</c:v>
                </c:pt>
                <c:pt idx="1">
                  <c:v>1040</c:v>
                </c:pt>
                <c:pt idx="2">
                  <c:v>956</c:v>
                </c:pt>
                <c:pt idx="3">
                  <c:v>860</c:v>
                </c:pt>
                <c:pt idx="4">
                  <c:v>771</c:v>
                </c:pt>
                <c:pt idx="5">
                  <c:v>682</c:v>
                </c:pt>
                <c:pt idx="6">
                  <c:v>594</c:v>
                </c:pt>
              </c:numCache>
            </c:numRef>
          </c:val>
          <c:smooth val="0"/>
          <c:extLst xmlns:c16r2="http://schemas.microsoft.com/office/drawing/2015/06/chart">
            <c:ext xmlns:c16="http://schemas.microsoft.com/office/drawing/2014/chart" uri="{C3380CC4-5D6E-409C-BE32-E72D297353CC}">
              <c16:uniqueId val="{00000011-06A7-4629-A0B3-CB6A76731642}"/>
            </c:ext>
          </c:extLst>
        </c:ser>
        <c:dLbls>
          <c:showLegendKey val="0"/>
          <c:showVal val="0"/>
          <c:showCatName val="0"/>
          <c:showSerName val="0"/>
          <c:showPercent val="0"/>
          <c:showBubbleSize val="0"/>
        </c:dLbls>
        <c:marker val="1"/>
        <c:smooth val="0"/>
        <c:axId val="398538296"/>
        <c:axId val="398539864"/>
      </c:lineChart>
      <c:catAx>
        <c:axId val="398538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39864"/>
        <c:crosses val="autoZero"/>
        <c:auto val="1"/>
        <c:lblAlgn val="ctr"/>
        <c:lblOffset val="100"/>
        <c:noMultiLvlLbl val="0"/>
      </c:catAx>
      <c:valAx>
        <c:axId val="3985398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3829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61</c:v>
                </c:pt>
                <c:pt idx="1">
                  <c:v>50</c:v>
                </c:pt>
                <c:pt idx="2">
                  <c:v>45</c:v>
                </c:pt>
                <c:pt idx="3">
                  <c:v>37</c:v>
                </c:pt>
                <c:pt idx="4">
                  <c:v>28</c:v>
                </c:pt>
                <c:pt idx="5">
                  <c:v>24</c:v>
                </c:pt>
                <c:pt idx="6">
                  <c:v>22</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8538688"/>
        <c:axId val="398539080"/>
      </c:barChart>
      <c:catAx>
        <c:axId val="398538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39080"/>
        <c:crosses val="autoZero"/>
        <c:auto val="1"/>
        <c:lblAlgn val="ctr"/>
        <c:lblOffset val="100"/>
        <c:noMultiLvlLbl val="0"/>
      </c:catAx>
      <c:valAx>
        <c:axId val="3985390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386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1"/>
  </cols>
  <sheetData>
    <row r="1" spans="1:10" s="22" customFormat="1" ht="42.75" customHeight="1" x14ac:dyDescent="0.15"/>
    <row r="2" spans="1:10" ht="22.5" customHeight="1" x14ac:dyDescent="0.15"/>
    <row r="3" spans="1:10" ht="22.5" customHeight="1" x14ac:dyDescent="0.15"/>
    <row r="4" spans="1:10" ht="22.5" customHeight="1" x14ac:dyDescent="0.15"/>
    <row r="8" spans="1:10" x14ac:dyDescent="0.15">
      <c r="A8" s="267" t="s">
        <v>322</v>
      </c>
      <c r="B8" s="267"/>
      <c r="C8" s="267"/>
      <c r="D8" s="267"/>
      <c r="E8" s="267"/>
      <c r="F8" s="267"/>
      <c r="G8" s="267"/>
      <c r="H8" s="267"/>
      <c r="I8" s="267"/>
      <c r="J8" s="267"/>
    </row>
    <row r="9" spans="1:10" x14ac:dyDescent="0.15">
      <c r="A9" s="270" t="s">
        <v>357</v>
      </c>
      <c r="B9" s="270"/>
      <c r="C9" s="270"/>
      <c r="D9" s="270"/>
      <c r="E9" s="270"/>
      <c r="F9" s="270"/>
      <c r="G9" s="270"/>
      <c r="H9" s="270"/>
      <c r="I9" s="270"/>
      <c r="J9" s="270"/>
    </row>
    <row r="10" spans="1:10" x14ac:dyDescent="0.15">
      <c r="A10" s="270"/>
      <c r="B10" s="270"/>
      <c r="C10" s="270"/>
      <c r="D10" s="270"/>
      <c r="E10" s="270"/>
      <c r="F10" s="270"/>
      <c r="G10" s="270"/>
      <c r="H10" s="270"/>
      <c r="I10" s="270"/>
      <c r="J10" s="270"/>
    </row>
    <row r="11" spans="1:10" x14ac:dyDescent="0.15">
      <c r="A11" s="270"/>
      <c r="B11" s="270"/>
      <c r="C11" s="270"/>
      <c r="D11" s="270"/>
      <c r="E11" s="270"/>
      <c r="F11" s="270"/>
      <c r="G11" s="270"/>
      <c r="H11" s="270"/>
      <c r="I11" s="270"/>
      <c r="J11" s="270"/>
    </row>
    <row r="12" spans="1:10" x14ac:dyDescent="0.15">
      <c r="A12" s="270"/>
      <c r="B12" s="270"/>
      <c r="C12" s="270"/>
      <c r="D12" s="270"/>
      <c r="E12" s="270"/>
      <c r="F12" s="270"/>
      <c r="G12" s="270"/>
      <c r="H12" s="270"/>
      <c r="I12" s="270"/>
      <c r="J12" s="270"/>
    </row>
    <row r="15" spans="1:10" ht="18.75" customHeight="1" x14ac:dyDescent="0.15">
      <c r="A15" s="268" t="str">
        <f>管理者入力シート!B4</f>
        <v>永久津中学校区</v>
      </c>
      <c r="B15" s="268"/>
      <c r="C15" s="268"/>
      <c r="D15" s="268"/>
      <c r="E15" s="268"/>
      <c r="F15" s="268"/>
      <c r="G15" s="268"/>
      <c r="H15" s="268"/>
      <c r="I15" s="268"/>
      <c r="J15" s="268"/>
    </row>
    <row r="16" spans="1:10" ht="18.75" customHeight="1" x14ac:dyDescent="0.15">
      <c r="A16" s="268"/>
      <c r="B16" s="268"/>
      <c r="C16" s="268"/>
      <c r="D16" s="268"/>
      <c r="E16" s="268"/>
      <c r="F16" s="268"/>
      <c r="G16" s="268"/>
      <c r="H16" s="268"/>
      <c r="I16" s="268"/>
      <c r="J16" s="268"/>
    </row>
    <row r="19" spans="1:10" ht="18.75" customHeight="1" x14ac:dyDescent="0.15">
      <c r="A19" s="269" t="s">
        <v>358</v>
      </c>
      <c r="B19" s="269"/>
      <c r="C19" s="269"/>
      <c r="D19" s="269"/>
      <c r="E19" s="269"/>
      <c r="F19" s="269"/>
      <c r="G19" s="269"/>
      <c r="H19" s="269"/>
      <c r="I19" s="269"/>
      <c r="J19" s="269"/>
    </row>
    <row r="20" spans="1:10" x14ac:dyDescent="0.15">
      <c r="A20" s="269"/>
      <c r="B20" s="269"/>
      <c r="C20" s="269"/>
      <c r="D20" s="269"/>
      <c r="E20" s="269"/>
      <c r="F20" s="269"/>
      <c r="G20" s="269"/>
      <c r="H20" s="269"/>
      <c r="I20" s="269"/>
      <c r="J20" s="269"/>
    </row>
    <row r="21" spans="1:10" x14ac:dyDescent="0.15">
      <c r="A21" s="269"/>
      <c r="B21" s="269"/>
      <c r="C21" s="269"/>
      <c r="D21" s="269"/>
      <c r="E21" s="269"/>
      <c r="F21" s="269"/>
      <c r="G21" s="269"/>
      <c r="H21" s="269"/>
      <c r="I21" s="269"/>
      <c r="J21" s="269"/>
    </row>
    <row r="22" spans="1:10" x14ac:dyDescent="0.15">
      <c r="A22" s="269"/>
      <c r="B22" s="269"/>
      <c r="C22" s="269"/>
      <c r="D22" s="269"/>
      <c r="E22" s="269"/>
      <c r="F22" s="269"/>
      <c r="G22" s="269"/>
      <c r="H22" s="269"/>
      <c r="I22" s="269"/>
      <c r="J22" s="269"/>
    </row>
    <row r="23" spans="1:10" x14ac:dyDescent="0.15">
      <c r="A23" s="269"/>
      <c r="B23" s="269"/>
      <c r="C23" s="269"/>
      <c r="D23" s="269"/>
      <c r="E23" s="269"/>
      <c r="F23" s="269"/>
      <c r="G23" s="269"/>
      <c r="H23" s="269"/>
      <c r="I23" s="269"/>
      <c r="J23" s="269"/>
    </row>
    <row r="24" spans="1:10" x14ac:dyDescent="0.15">
      <c r="A24" s="269"/>
      <c r="B24" s="269"/>
      <c r="C24" s="269"/>
      <c r="D24" s="269"/>
      <c r="E24" s="269"/>
      <c r="F24" s="269"/>
      <c r="G24" s="269"/>
      <c r="H24" s="269"/>
      <c r="I24" s="269"/>
      <c r="J24" s="269"/>
    </row>
    <row r="25" spans="1:10" x14ac:dyDescent="0.15">
      <c r="A25" s="269"/>
      <c r="B25" s="269"/>
      <c r="C25" s="269"/>
      <c r="D25" s="269"/>
      <c r="E25" s="269"/>
      <c r="F25" s="269"/>
      <c r="G25" s="269"/>
      <c r="H25" s="269"/>
      <c r="I25" s="269"/>
      <c r="J25" s="269"/>
    </row>
    <row r="26" spans="1:10" ht="19.5" thickBot="1" x14ac:dyDescent="0.2"/>
    <row r="27" spans="1:10" x14ac:dyDescent="0.15">
      <c r="A27" s="104" t="s">
        <v>359</v>
      </c>
      <c r="B27" s="105"/>
      <c r="C27" s="105"/>
      <c r="D27" s="105"/>
      <c r="E27" s="105"/>
      <c r="F27" s="105"/>
      <c r="G27" s="105"/>
      <c r="H27" s="105"/>
      <c r="I27" s="105"/>
      <c r="J27" s="106"/>
    </row>
    <row r="28" spans="1:10" x14ac:dyDescent="0.15">
      <c r="A28" s="107" t="s">
        <v>216</v>
      </c>
      <c r="B28" s="90" t="s">
        <v>217</v>
      </c>
      <c r="C28" s="90"/>
      <c r="D28" s="90"/>
      <c r="E28" s="90"/>
      <c r="F28" s="90"/>
      <c r="G28" s="90"/>
      <c r="H28" s="90"/>
      <c r="I28" s="90"/>
      <c r="J28" s="108"/>
    </row>
    <row r="29" spans="1:10" x14ac:dyDescent="0.15">
      <c r="A29" s="109"/>
      <c r="B29" s="90" t="s">
        <v>337</v>
      </c>
      <c r="C29" s="90"/>
      <c r="D29" s="90"/>
      <c r="E29" s="90"/>
      <c r="F29" s="90"/>
      <c r="G29" s="90"/>
      <c r="H29" s="90"/>
      <c r="I29" s="90"/>
      <c r="J29" s="108"/>
    </row>
    <row r="30" spans="1:10" x14ac:dyDescent="0.15">
      <c r="A30" s="109"/>
      <c r="B30" s="90"/>
      <c r="C30" s="90"/>
      <c r="D30" s="90"/>
      <c r="E30" s="90"/>
      <c r="F30" s="90"/>
      <c r="G30" s="90"/>
      <c r="H30" s="90"/>
      <c r="I30" s="90"/>
      <c r="J30" s="108"/>
    </row>
    <row r="31" spans="1:10" x14ac:dyDescent="0.15">
      <c r="A31" s="107" t="s">
        <v>218</v>
      </c>
      <c r="B31" s="90" t="s">
        <v>323</v>
      </c>
      <c r="C31" s="90"/>
      <c r="D31" s="90"/>
      <c r="E31" s="90"/>
      <c r="F31" s="90"/>
      <c r="G31" s="90"/>
      <c r="H31" s="90"/>
      <c r="I31" s="90"/>
      <c r="J31" s="108"/>
    </row>
    <row r="32" spans="1:10" x14ac:dyDescent="0.15">
      <c r="A32" s="109"/>
      <c r="B32" s="90" t="s">
        <v>324</v>
      </c>
      <c r="C32" s="90"/>
      <c r="D32" s="90"/>
      <c r="E32" s="90"/>
      <c r="F32" s="90"/>
      <c r="G32" s="90"/>
      <c r="H32" s="90"/>
      <c r="I32" s="90"/>
      <c r="J32" s="108"/>
    </row>
    <row r="33" spans="1:10" x14ac:dyDescent="0.15">
      <c r="A33" s="109"/>
      <c r="B33" s="90" t="s">
        <v>325</v>
      </c>
      <c r="C33" s="90"/>
      <c r="D33" s="90"/>
      <c r="E33" s="90"/>
      <c r="F33" s="90"/>
      <c r="G33" s="90"/>
      <c r="H33" s="90"/>
      <c r="I33" s="90"/>
      <c r="J33" s="108"/>
    </row>
    <row r="34" spans="1:10" x14ac:dyDescent="0.15">
      <c r="A34" s="109"/>
      <c r="B34" s="90"/>
      <c r="C34" s="90"/>
      <c r="D34" s="90"/>
      <c r="E34" s="90"/>
      <c r="F34" s="90"/>
      <c r="G34" s="90"/>
      <c r="H34" s="90"/>
      <c r="I34" s="90"/>
      <c r="J34" s="108"/>
    </row>
    <row r="35" spans="1:10" x14ac:dyDescent="0.15">
      <c r="A35" s="109"/>
      <c r="B35" s="90"/>
      <c r="C35" s="90"/>
      <c r="D35" s="90"/>
      <c r="E35" s="90"/>
      <c r="F35" s="90"/>
      <c r="G35" s="90"/>
      <c r="H35" s="90"/>
      <c r="I35" s="90"/>
      <c r="J35" s="108"/>
    </row>
    <row r="36" spans="1:10" x14ac:dyDescent="0.15">
      <c r="A36" s="107" t="s">
        <v>219</v>
      </c>
      <c r="B36" s="90" t="s">
        <v>220</v>
      </c>
      <c r="C36" s="90"/>
      <c r="D36" s="90"/>
      <c r="E36" s="90"/>
      <c r="F36" s="90"/>
      <c r="G36" s="90"/>
      <c r="H36" s="90"/>
      <c r="I36" s="90"/>
      <c r="J36" s="108"/>
    </row>
    <row r="37" spans="1:10" x14ac:dyDescent="0.15">
      <c r="A37" s="109"/>
      <c r="B37" s="90" t="s">
        <v>221</v>
      </c>
      <c r="C37" s="90"/>
      <c r="D37" s="90"/>
      <c r="E37" s="90"/>
      <c r="F37" s="90"/>
      <c r="G37" s="90"/>
      <c r="H37" s="90"/>
      <c r="I37" s="90"/>
      <c r="J37" s="108"/>
    </row>
    <row r="38" spans="1:10" x14ac:dyDescent="0.15">
      <c r="A38" s="109"/>
      <c r="B38" s="90" t="s">
        <v>222</v>
      </c>
      <c r="C38" s="90"/>
      <c r="D38" s="90"/>
      <c r="E38" s="90"/>
      <c r="F38" s="90"/>
      <c r="G38" s="90"/>
      <c r="H38" s="90"/>
      <c r="I38" s="90"/>
      <c r="J38" s="108"/>
    </row>
    <row r="39" spans="1:10" x14ac:dyDescent="0.15">
      <c r="A39" s="109"/>
      <c r="B39" s="90" t="s">
        <v>223</v>
      </c>
      <c r="C39" s="90"/>
      <c r="D39" s="90"/>
      <c r="E39" s="90"/>
      <c r="F39" s="90"/>
      <c r="G39" s="90"/>
      <c r="H39" s="90"/>
      <c r="I39" s="90"/>
      <c r="J39" s="108"/>
    </row>
    <row r="40" spans="1:10" ht="19.5" thickBot="1" x14ac:dyDescent="0.2">
      <c r="A40" s="110"/>
      <c r="B40" s="111"/>
      <c r="C40" s="111"/>
      <c r="D40" s="111"/>
      <c r="E40" s="111"/>
      <c r="F40" s="111"/>
      <c r="G40" s="111"/>
      <c r="H40" s="111"/>
      <c r="I40" s="111"/>
      <c r="J40" s="112"/>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sqref="A1:A2"/>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50" t="s">
        <v>127</v>
      </c>
      <c r="B1" s="351" t="s">
        <v>128</v>
      </c>
      <c r="C1" s="353" t="s">
        <v>129</v>
      </c>
      <c r="D1" s="355" t="s">
        <v>130</v>
      </c>
      <c r="E1" s="355"/>
      <c r="F1" s="355"/>
      <c r="G1" s="355"/>
      <c r="H1" s="355"/>
      <c r="I1" s="355"/>
      <c r="J1" s="355"/>
      <c r="K1" s="332" t="s">
        <v>131</v>
      </c>
      <c r="L1" s="332"/>
      <c r="M1" s="332"/>
      <c r="N1" s="332"/>
      <c r="O1" s="332"/>
      <c r="P1" s="332"/>
      <c r="Q1" s="332"/>
      <c r="R1" s="356" t="s">
        <v>132</v>
      </c>
      <c r="S1" s="357"/>
      <c r="T1" s="357"/>
      <c r="U1" s="357"/>
      <c r="V1" s="357"/>
      <c r="W1" s="357"/>
      <c r="X1" s="357"/>
      <c r="Y1" s="357"/>
      <c r="Z1" s="357"/>
      <c r="AA1" s="357"/>
      <c r="AB1" s="357"/>
      <c r="AC1" s="357"/>
      <c r="AD1" s="357"/>
      <c r="AE1" s="357"/>
      <c r="AF1" s="357"/>
      <c r="AG1" s="357"/>
      <c r="AH1" s="357"/>
      <c r="AI1" s="357"/>
      <c r="AJ1" s="357"/>
      <c r="AK1" s="357"/>
      <c r="AL1" s="357"/>
      <c r="AM1" s="357"/>
      <c r="AN1" s="357"/>
      <c r="AO1" s="358"/>
      <c r="AP1" s="344" t="s">
        <v>133</v>
      </c>
      <c r="AQ1" s="345"/>
      <c r="AR1" s="345"/>
      <c r="AS1" s="345"/>
      <c r="AT1" s="345"/>
      <c r="AU1" s="345"/>
      <c r="AV1" s="345"/>
      <c r="AW1" s="345"/>
      <c r="AX1" s="345"/>
      <c r="AY1" s="345"/>
      <c r="AZ1" s="345"/>
      <c r="BA1" s="345"/>
      <c r="BB1" s="345"/>
      <c r="BC1" s="345"/>
      <c r="BD1" s="345"/>
      <c r="BE1" s="345"/>
      <c r="BF1" s="345"/>
      <c r="BG1" s="345"/>
      <c r="BH1" s="345"/>
      <c r="BI1" s="345"/>
      <c r="BJ1" s="345"/>
      <c r="BK1" s="345"/>
      <c r="BL1" s="345"/>
      <c r="BM1" s="345"/>
      <c r="BN1" s="345"/>
      <c r="BO1" s="345"/>
      <c r="BP1" s="345"/>
      <c r="BQ1" s="345"/>
      <c r="BR1" s="345"/>
      <c r="BS1" s="345"/>
      <c r="BT1" s="345"/>
      <c r="BU1" s="345"/>
      <c r="BV1" s="345"/>
      <c r="BW1" s="345"/>
      <c r="BX1" s="345"/>
      <c r="BY1" s="345"/>
      <c r="BZ1" s="345"/>
      <c r="CA1" s="345"/>
      <c r="CB1" s="346"/>
      <c r="CC1" s="347" t="s">
        <v>134</v>
      </c>
      <c r="CD1" s="348"/>
      <c r="CE1" s="348"/>
      <c r="CF1" s="348"/>
      <c r="CG1" s="348"/>
      <c r="CH1" s="348"/>
      <c r="CI1" s="348"/>
      <c r="CJ1" s="348"/>
      <c r="CK1" s="348"/>
      <c r="CL1" s="348"/>
      <c r="CM1" s="348"/>
      <c r="CN1" s="348"/>
      <c r="CO1" s="348"/>
      <c r="CP1" s="349"/>
    </row>
    <row r="2" spans="1:94" s="86" customFormat="1" ht="60" x14ac:dyDescent="0.15">
      <c r="A2" s="351"/>
      <c r="B2" s="352"/>
      <c r="C2" s="354"/>
      <c r="D2" s="147" t="s">
        <v>135</v>
      </c>
      <c r="E2" s="148" t="s">
        <v>136</v>
      </c>
      <c r="F2" s="148" t="s">
        <v>137</v>
      </c>
      <c r="G2" s="149" t="s">
        <v>138</v>
      </c>
      <c r="H2" s="150" t="s">
        <v>139</v>
      </c>
      <c r="I2" s="148" t="s">
        <v>140</v>
      </c>
      <c r="J2" s="151" t="s">
        <v>141</v>
      </c>
      <c r="K2" s="85" t="s">
        <v>142</v>
      </c>
      <c r="L2" s="148" t="s">
        <v>143</v>
      </c>
      <c r="M2" s="148" t="s">
        <v>144</v>
      </c>
      <c r="N2" s="149" t="s">
        <v>145</v>
      </c>
      <c r="O2" s="150" t="s">
        <v>146</v>
      </c>
      <c r="P2" s="148" t="s">
        <v>147</v>
      </c>
      <c r="Q2" s="151" t="s">
        <v>148</v>
      </c>
      <c r="R2" s="152" t="s">
        <v>142</v>
      </c>
      <c r="S2" s="148" t="s">
        <v>149</v>
      </c>
      <c r="T2" s="148" t="s">
        <v>150</v>
      </c>
      <c r="U2" s="148" t="s">
        <v>151</v>
      </c>
      <c r="V2" s="148" t="s">
        <v>152</v>
      </c>
      <c r="W2" s="149" t="s">
        <v>153</v>
      </c>
      <c r="X2" s="152" t="s">
        <v>154</v>
      </c>
      <c r="Y2" s="148" t="s">
        <v>155</v>
      </c>
      <c r="Z2" s="148" t="s">
        <v>156</v>
      </c>
      <c r="AA2" s="148" t="s">
        <v>157</v>
      </c>
      <c r="AB2" s="148" t="s">
        <v>158</v>
      </c>
      <c r="AC2" s="151" t="s">
        <v>159</v>
      </c>
      <c r="AD2" s="152" t="s">
        <v>160</v>
      </c>
      <c r="AE2" s="148" t="s">
        <v>161</v>
      </c>
      <c r="AF2" s="148" t="s">
        <v>162</v>
      </c>
      <c r="AG2" s="148" t="s">
        <v>163</v>
      </c>
      <c r="AH2" s="148" t="s">
        <v>164</v>
      </c>
      <c r="AI2" s="151" t="s">
        <v>165</v>
      </c>
      <c r="AJ2" s="150" t="s">
        <v>166</v>
      </c>
      <c r="AK2" s="148" t="s">
        <v>167</v>
      </c>
      <c r="AL2" s="148" t="s">
        <v>168</v>
      </c>
      <c r="AM2" s="148" t="s">
        <v>169</v>
      </c>
      <c r="AN2" s="148" t="s">
        <v>170</v>
      </c>
      <c r="AO2" s="151" t="s">
        <v>171</v>
      </c>
      <c r="AP2" s="153" t="s">
        <v>172</v>
      </c>
      <c r="AQ2" s="154" t="s">
        <v>173</v>
      </c>
      <c r="AR2" s="148" t="s">
        <v>174</v>
      </c>
      <c r="AS2" s="148" t="s">
        <v>175</v>
      </c>
      <c r="AT2" s="148" t="s">
        <v>176</v>
      </c>
      <c r="AU2" s="148" t="s">
        <v>177</v>
      </c>
      <c r="AV2" s="148" t="s">
        <v>178</v>
      </c>
      <c r="AW2" s="148" t="s">
        <v>179</v>
      </c>
      <c r="AX2" s="148" t="s">
        <v>180</v>
      </c>
      <c r="AY2" s="148" t="s">
        <v>181</v>
      </c>
      <c r="AZ2" s="148" t="s">
        <v>182</v>
      </c>
      <c r="BA2" s="148" t="s">
        <v>183</v>
      </c>
      <c r="BB2" s="148" t="s">
        <v>184</v>
      </c>
      <c r="BC2" s="148" t="s">
        <v>185</v>
      </c>
      <c r="BD2" s="148" t="s">
        <v>186</v>
      </c>
      <c r="BE2" s="148" t="s">
        <v>187</v>
      </c>
      <c r="BF2" s="148" t="s">
        <v>188</v>
      </c>
      <c r="BG2" s="148" t="s">
        <v>189</v>
      </c>
      <c r="BH2" s="148" t="s">
        <v>190</v>
      </c>
      <c r="BI2" s="151" t="s">
        <v>191</v>
      </c>
      <c r="BJ2" s="154" t="s">
        <v>301</v>
      </c>
      <c r="BK2" s="148" t="s">
        <v>209</v>
      </c>
      <c r="BL2" s="148" t="s">
        <v>302</v>
      </c>
      <c r="BM2" s="148" t="s">
        <v>210</v>
      </c>
      <c r="BN2" s="148" t="s">
        <v>211</v>
      </c>
      <c r="BO2" s="148" t="s">
        <v>212</v>
      </c>
      <c r="BP2" s="148" t="s">
        <v>213</v>
      </c>
      <c r="BQ2" s="148" t="s">
        <v>303</v>
      </c>
      <c r="BR2" s="148" t="s">
        <v>304</v>
      </c>
      <c r="BS2" s="148" t="s">
        <v>305</v>
      </c>
      <c r="BT2" s="148" t="s">
        <v>306</v>
      </c>
      <c r="BU2" s="148" t="s">
        <v>307</v>
      </c>
      <c r="BV2" s="148" t="s">
        <v>308</v>
      </c>
      <c r="BW2" s="148" t="s">
        <v>309</v>
      </c>
      <c r="BX2" s="148" t="s">
        <v>310</v>
      </c>
      <c r="BY2" s="148" t="s">
        <v>311</v>
      </c>
      <c r="BZ2" s="148" t="s">
        <v>214</v>
      </c>
      <c r="CA2" s="148" t="s">
        <v>312</v>
      </c>
      <c r="CB2" s="151" t="s">
        <v>215</v>
      </c>
      <c r="CC2" s="147" t="s">
        <v>192</v>
      </c>
      <c r="CD2" s="154" t="s">
        <v>193</v>
      </c>
      <c r="CE2" s="154" t="s">
        <v>194</v>
      </c>
      <c r="CF2" s="155" t="s">
        <v>195</v>
      </c>
      <c r="CG2" s="147" t="s">
        <v>196</v>
      </c>
      <c r="CH2" s="154" t="s">
        <v>197</v>
      </c>
      <c r="CI2" s="154" t="s">
        <v>198</v>
      </c>
      <c r="CJ2" s="155" t="s">
        <v>199</v>
      </c>
      <c r="CK2" s="147" t="s">
        <v>200</v>
      </c>
      <c r="CL2" s="154" t="s">
        <v>201</v>
      </c>
      <c r="CM2" s="155" t="s">
        <v>202</v>
      </c>
      <c r="CN2" s="147" t="s">
        <v>203</v>
      </c>
      <c r="CO2" s="154" t="s">
        <v>204</v>
      </c>
      <c r="CP2" s="155" t="s">
        <v>205</v>
      </c>
    </row>
    <row r="3" spans="1:94" s="86" customFormat="1" x14ac:dyDescent="0.15">
      <c r="A3" s="94"/>
      <c r="B3" s="194" t="s">
        <v>283</v>
      </c>
      <c r="C3" s="194" t="s">
        <v>283</v>
      </c>
      <c r="D3" s="203">
        <v>468575.00000000006</v>
      </c>
      <c r="E3" s="204">
        <v>216053.99999999991</v>
      </c>
      <c r="F3" s="204">
        <v>72768</v>
      </c>
      <c r="G3" s="205">
        <v>70639.000000000015</v>
      </c>
      <c r="H3" s="161">
        <v>0.46108733927332846</v>
      </c>
      <c r="I3" s="162">
        <v>0.15529637731419729</v>
      </c>
      <c r="J3" s="163">
        <v>0.15075281438403673</v>
      </c>
      <c r="K3" s="203">
        <v>1069576</v>
      </c>
      <c r="L3" s="204">
        <v>112114.99999999999</v>
      </c>
      <c r="M3" s="204">
        <v>371766.99999999994</v>
      </c>
      <c r="N3" s="205">
        <v>511426.99999999994</v>
      </c>
      <c r="O3" s="161">
        <v>0.10482191073846084</v>
      </c>
      <c r="P3" s="162">
        <v>0.34758352842621743</v>
      </c>
      <c r="Q3" s="163">
        <v>0.47815863482351878</v>
      </c>
      <c r="R3" s="156">
        <v>1069576</v>
      </c>
      <c r="S3" s="158">
        <v>136010.00000000006</v>
      </c>
      <c r="T3" s="158">
        <v>41998.999999999978</v>
      </c>
      <c r="U3" s="157">
        <v>44855</v>
      </c>
      <c r="V3" s="157">
        <v>4371.0000000000018</v>
      </c>
      <c r="W3" s="159">
        <v>227235</v>
      </c>
      <c r="X3" s="156">
        <v>504762.99999999994</v>
      </c>
      <c r="Y3" s="157">
        <v>60477.999999999985</v>
      </c>
      <c r="Z3" s="157">
        <v>20228.000000000007</v>
      </c>
      <c r="AA3" s="157">
        <v>25200</v>
      </c>
      <c r="AB3" s="157">
        <v>1824</v>
      </c>
      <c r="AC3" s="159">
        <v>107729.99999999996</v>
      </c>
      <c r="AD3" s="156">
        <v>564813.00000000023</v>
      </c>
      <c r="AE3" s="157">
        <v>75532</v>
      </c>
      <c r="AF3" s="157">
        <v>21771.000000000011</v>
      </c>
      <c r="AG3" s="157">
        <v>19654.999999999996</v>
      </c>
      <c r="AH3" s="157">
        <v>2546.9999999999991</v>
      </c>
      <c r="AI3" s="159">
        <v>119504.99999999999</v>
      </c>
      <c r="AJ3" s="161">
        <v>0.21245334599878832</v>
      </c>
      <c r="AK3" s="162">
        <v>0.18482628116267291</v>
      </c>
      <c r="AL3" s="162">
        <v>0.19739476753141022</v>
      </c>
      <c r="AM3" s="162">
        <v>1.923559310845601E-2</v>
      </c>
      <c r="AN3" s="160">
        <v>0.47409069905604312</v>
      </c>
      <c r="AO3" s="163">
        <v>0.5259093009439566</v>
      </c>
      <c r="AP3" s="156">
        <v>498592.00000000023</v>
      </c>
      <c r="AQ3" s="157">
        <v>46600.999999999993</v>
      </c>
      <c r="AR3" s="157">
        <v>2573.9999999999995</v>
      </c>
      <c r="AS3" s="157">
        <v>119</v>
      </c>
      <c r="AT3" s="157">
        <v>41697.000000000015</v>
      </c>
      <c r="AU3" s="157">
        <v>59731.000000000007</v>
      </c>
      <c r="AV3" s="157">
        <v>2292.0000000000009</v>
      </c>
      <c r="AW3" s="157">
        <v>6439.9999999999991</v>
      </c>
      <c r="AX3" s="157">
        <v>19650.000000000007</v>
      </c>
      <c r="AY3" s="157">
        <v>72716.000000000015</v>
      </c>
      <c r="AZ3" s="157">
        <v>9722.9999999999945</v>
      </c>
      <c r="BA3" s="157">
        <v>6355.0000000000018</v>
      </c>
      <c r="BB3" s="157">
        <v>12105</v>
      </c>
      <c r="BC3" s="157">
        <v>25016.999999999996</v>
      </c>
      <c r="BD3" s="157">
        <v>16998.999999999996</v>
      </c>
      <c r="BE3" s="157">
        <v>25490.000000000011</v>
      </c>
      <c r="BF3" s="157">
        <v>83198.999999999985</v>
      </c>
      <c r="BG3" s="157">
        <v>6219.0000000000018</v>
      </c>
      <c r="BH3" s="157">
        <v>28572</v>
      </c>
      <c r="BI3" s="159">
        <v>23419.000000000004</v>
      </c>
      <c r="BJ3" s="160">
        <v>9.3465197997561075E-2</v>
      </c>
      <c r="BK3" s="162">
        <v>5.162537706180601E-3</v>
      </c>
      <c r="BL3" s="162">
        <v>2.3867210063538915E-4</v>
      </c>
      <c r="BM3" s="162">
        <v>8.3629500673897683E-2</v>
      </c>
      <c r="BN3" s="162">
        <v>0.11979935498363387</v>
      </c>
      <c r="BO3" s="162">
        <v>4.5969449971118665E-3</v>
      </c>
      <c r="BP3" s="162">
        <v>1.2916372504973999E-2</v>
      </c>
      <c r="BQ3" s="162">
        <v>3.9410981323406709E-2</v>
      </c>
      <c r="BR3" s="162">
        <v>0.14584269302355429</v>
      </c>
      <c r="BS3" s="162">
        <v>1.9500914575444433E-2</v>
      </c>
      <c r="BT3" s="162">
        <v>1.2745892433091583E-2</v>
      </c>
      <c r="BU3" s="162">
        <v>2.4278367883961222E-2</v>
      </c>
      <c r="BV3" s="162">
        <v>5.017529362685319E-2</v>
      </c>
      <c r="BW3" s="162">
        <v>3.4094008728579657E-2</v>
      </c>
      <c r="BX3" s="162">
        <v>5.1123965085681275E-2</v>
      </c>
      <c r="BY3" s="162">
        <v>0.16686790000641796</v>
      </c>
      <c r="BZ3" s="162">
        <v>1.2473124318079711E-2</v>
      </c>
      <c r="CA3" s="162">
        <v>5.730537192734738E-2</v>
      </c>
      <c r="CB3" s="163">
        <v>4.6970268275463689E-2</v>
      </c>
      <c r="CC3" s="156">
        <v>498592.00000000023</v>
      </c>
      <c r="CD3" s="157">
        <v>412571.00000000023</v>
      </c>
      <c r="CE3" s="157">
        <v>70576.000000000015</v>
      </c>
      <c r="CF3" s="157">
        <v>7434.9999999999982</v>
      </c>
      <c r="CG3" s="156">
        <v>43141</v>
      </c>
      <c r="CH3" s="157">
        <v>33185.000000000007</v>
      </c>
      <c r="CI3" s="157">
        <v>8082.9999999999973</v>
      </c>
      <c r="CJ3" s="157">
        <v>813.99999999999966</v>
      </c>
      <c r="CK3" s="161">
        <v>0.82747216160708559</v>
      </c>
      <c r="CL3" s="162">
        <v>0.14155060650792628</v>
      </c>
      <c r="CM3" s="163">
        <v>1.491199216995057E-2</v>
      </c>
      <c r="CN3" s="161">
        <v>0.76922185392086428</v>
      </c>
      <c r="CO3" s="162">
        <v>0.18736236990334015</v>
      </c>
      <c r="CP3" s="163">
        <v>1.8868361883127412E-2</v>
      </c>
    </row>
    <row r="4" spans="1:94" s="86" customFormat="1" x14ac:dyDescent="0.15">
      <c r="A4" s="94"/>
      <c r="B4" s="262" t="str">
        <f>B5&amp;"平均"</f>
        <v>小林市平均</v>
      </c>
      <c r="C4" s="262" t="str">
        <f>B4</f>
        <v>小林市平均</v>
      </c>
      <c r="D4" s="203">
        <f>SUM(D7:D70)</f>
        <v>19074</v>
      </c>
      <c r="E4" s="204">
        <f>SUM(E7:E70)</f>
        <v>9989</v>
      </c>
      <c r="F4" s="204">
        <f>SUM(F7:F70)</f>
        <v>3511</v>
      </c>
      <c r="G4" s="205">
        <f>SUM(G7:G70)</f>
        <v>3494</v>
      </c>
      <c r="H4" s="161">
        <f>E4/D4</f>
        <v>0.52369717940652194</v>
      </c>
      <c r="I4" s="162">
        <f>F4/D4</f>
        <v>0.18407255950508547</v>
      </c>
      <c r="J4" s="163">
        <f>G4/D4</f>
        <v>0.1831812939079375</v>
      </c>
      <c r="K4" s="203">
        <f>SUM(K7:K70)</f>
        <v>43670</v>
      </c>
      <c r="L4" s="204">
        <f>SUM(L7:L70)</f>
        <v>5807</v>
      </c>
      <c r="M4" s="204">
        <f>SUM(M7:M70)</f>
        <v>14576</v>
      </c>
      <c r="N4" s="205">
        <f>SUM(N7:N70)</f>
        <v>22994</v>
      </c>
      <c r="O4" s="161">
        <f>L4/K4</f>
        <v>0.13297458209297</v>
      </c>
      <c r="P4" s="162">
        <f>M4/K4</f>
        <v>0.33377604762995189</v>
      </c>
      <c r="Q4" s="163">
        <f>N4/K4</f>
        <v>0.5265399587817724</v>
      </c>
      <c r="R4" s="203">
        <f>SUM(R7:R70)</f>
        <v>43670</v>
      </c>
      <c r="S4" s="158">
        <f>SUM(S7:S70)</f>
        <v>5117</v>
      </c>
      <c r="T4" s="158">
        <f>SUM(T7:T70)</f>
        <v>1880</v>
      </c>
      <c r="U4" s="157">
        <f>SUM(U7:U70)</f>
        <v>1616.0000000000002</v>
      </c>
      <c r="V4" s="157">
        <f>SUM(V7:V70)</f>
        <v>392</v>
      </c>
      <c r="W4" s="159">
        <f>S4+T4+U4+V4</f>
        <v>9005</v>
      </c>
      <c r="X4" s="156">
        <f>SUM(X7:X70)</f>
        <v>20327</v>
      </c>
      <c r="Y4" s="157">
        <f>SUM(Y7:Y70)</f>
        <v>2237</v>
      </c>
      <c r="Z4" s="157">
        <f>SUM(Z7:Z70)</f>
        <v>929</v>
      </c>
      <c r="AA4" s="157">
        <f>SUM(AA7:AA70)</f>
        <v>897</v>
      </c>
      <c r="AB4" s="157">
        <f>SUM(AB7:AB70)</f>
        <v>82</v>
      </c>
      <c r="AC4" s="159">
        <f>Y4+Z4+AA4+AB4</f>
        <v>4145</v>
      </c>
      <c r="AD4" s="156">
        <f>SUM(AD7:AD70)</f>
        <v>23343</v>
      </c>
      <c r="AE4" s="156">
        <f t="shared" ref="AE4:AH4" si="0">SUM(AE7:AE70)</f>
        <v>2880</v>
      </c>
      <c r="AF4" s="156">
        <f t="shared" si="0"/>
        <v>951</v>
      </c>
      <c r="AG4" s="156">
        <f t="shared" si="0"/>
        <v>719</v>
      </c>
      <c r="AH4" s="156">
        <f t="shared" si="0"/>
        <v>310</v>
      </c>
      <c r="AI4" s="159">
        <f>AE4+AF4+AG4+AH4</f>
        <v>4860</v>
      </c>
      <c r="AJ4" s="161">
        <f>W4/R4</f>
        <v>0.20620563315777421</v>
      </c>
      <c r="AK4" s="162">
        <f>T4/W4</f>
        <v>0.20877290394225431</v>
      </c>
      <c r="AL4" s="162">
        <f>U4/W4</f>
        <v>0.17945585785674628</v>
      </c>
      <c r="AM4" s="162">
        <f>V4/W4</f>
        <v>4.3531371460299832E-2</v>
      </c>
      <c r="AN4" s="160">
        <f>AC4/W4</f>
        <v>0.46029983342587449</v>
      </c>
      <c r="AO4" s="163">
        <f>AI4/W4</f>
        <v>0.53970016657412545</v>
      </c>
      <c r="AP4" s="156">
        <f>SUM(AP7:AP70)</f>
        <v>21298</v>
      </c>
      <c r="AQ4" s="157">
        <f t="shared" ref="AQ4:BI4" si="1">SUM(AQ7:AQ70)</f>
        <v>4019</v>
      </c>
      <c r="AR4" s="157">
        <f t="shared" si="1"/>
        <v>6</v>
      </c>
      <c r="AS4" s="157">
        <f t="shared" si="1"/>
        <v>5</v>
      </c>
      <c r="AT4" s="157">
        <f t="shared" si="1"/>
        <v>1750</v>
      </c>
      <c r="AU4" s="157">
        <f t="shared" si="1"/>
        <v>2387</v>
      </c>
      <c r="AV4" s="157">
        <f t="shared" si="1"/>
        <v>31</v>
      </c>
      <c r="AW4" s="157">
        <f t="shared" si="1"/>
        <v>47.999999999999993</v>
      </c>
      <c r="AX4" s="157">
        <f t="shared" si="1"/>
        <v>601</v>
      </c>
      <c r="AY4" s="157">
        <f t="shared" si="1"/>
        <v>2747</v>
      </c>
      <c r="AZ4" s="157">
        <f t="shared" si="1"/>
        <v>267</v>
      </c>
      <c r="BA4" s="157">
        <f t="shared" si="1"/>
        <v>158</v>
      </c>
      <c r="BB4" s="157">
        <f t="shared" si="1"/>
        <v>381</v>
      </c>
      <c r="BC4" s="157">
        <f t="shared" si="1"/>
        <v>887</v>
      </c>
      <c r="BD4" s="157">
        <f t="shared" si="1"/>
        <v>678</v>
      </c>
      <c r="BE4" s="157">
        <f t="shared" si="1"/>
        <v>800</v>
      </c>
      <c r="BF4" s="157">
        <f t="shared" si="1"/>
        <v>3931</v>
      </c>
      <c r="BG4" s="157">
        <f t="shared" si="1"/>
        <v>375</v>
      </c>
      <c r="BH4" s="157">
        <f t="shared" si="1"/>
        <v>995</v>
      </c>
      <c r="BI4" s="159">
        <f t="shared" si="1"/>
        <v>989</v>
      </c>
      <c r="BJ4" s="160">
        <f>IF($AP4=0,0,AQ4/$AP4)</f>
        <v>0.18870316461639591</v>
      </c>
      <c r="BK4" s="162">
        <f t="shared" ref="BK4:CB4" si="2">IF($AP4=0,0,AR4/$AP4)</f>
        <v>2.8171659310733402E-4</v>
      </c>
      <c r="BL4" s="162">
        <f t="shared" si="2"/>
        <v>2.3476382758944503E-4</v>
      </c>
      <c r="BM4" s="162">
        <f t="shared" si="2"/>
        <v>8.2167339656305752E-2</v>
      </c>
      <c r="BN4" s="162">
        <f t="shared" si="2"/>
        <v>0.11207625129120105</v>
      </c>
      <c r="BO4" s="162">
        <f t="shared" si="2"/>
        <v>1.4555357310545591E-3</v>
      </c>
      <c r="BP4" s="162">
        <f t="shared" si="2"/>
        <v>2.2537327448586717E-3</v>
      </c>
      <c r="BQ4" s="162">
        <f t="shared" si="2"/>
        <v>2.8218612076251291E-2</v>
      </c>
      <c r="BR4" s="162">
        <f t="shared" si="2"/>
        <v>0.12897924687764109</v>
      </c>
      <c r="BS4" s="162">
        <f t="shared" si="2"/>
        <v>1.2536388393276364E-2</v>
      </c>
      <c r="BT4" s="162">
        <f t="shared" si="2"/>
        <v>7.4185369518264621E-3</v>
      </c>
      <c r="BU4" s="162">
        <f t="shared" si="2"/>
        <v>1.788900366231571E-2</v>
      </c>
      <c r="BV4" s="162">
        <f t="shared" si="2"/>
        <v>4.1647103014367547E-2</v>
      </c>
      <c r="BW4" s="162">
        <f t="shared" si="2"/>
        <v>3.1833975021128745E-2</v>
      </c>
      <c r="BX4" s="162">
        <f t="shared" si="2"/>
        <v>3.7562212414311201E-2</v>
      </c>
      <c r="BY4" s="162">
        <f t="shared" si="2"/>
        <v>0.18457132125082168</v>
      </c>
      <c r="BZ4" s="162">
        <f t="shared" si="2"/>
        <v>1.7607287069208378E-2</v>
      </c>
      <c r="CA4" s="162">
        <f t="shared" si="2"/>
        <v>4.6718001690299556E-2</v>
      </c>
      <c r="CB4" s="163">
        <f t="shared" si="2"/>
        <v>4.6436285097192227E-2</v>
      </c>
      <c r="CC4" s="156">
        <f>SUM(CC7:CC70)</f>
        <v>21298</v>
      </c>
      <c r="CD4" s="157">
        <f t="shared" ref="CD4:CI4" si="3">SUM(CD7:CD70)</f>
        <v>17492</v>
      </c>
      <c r="CE4" s="157">
        <f t="shared" si="3"/>
        <v>3424</v>
      </c>
      <c r="CF4" s="157">
        <f t="shared" si="3"/>
        <v>172</v>
      </c>
      <c r="CG4" s="156">
        <f t="shared" si="3"/>
        <v>1689</v>
      </c>
      <c r="CH4" s="157">
        <f t="shared" si="3"/>
        <v>1209</v>
      </c>
      <c r="CI4" s="157">
        <f t="shared" si="3"/>
        <v>417</v>
      </c>
      <c r="CJ4" s="157">
        <f>SUM(CJ7:CJ70)</f>
        <v>31</v>
      </c>
      <c r="CK4" s="161">
        <f t="shared" ref="CK4:CM4" si="4">IF($CC4=0,0,CD4/$CC4)</f>
        <v>0.8212977744389145</v>
      </c>
      <c r="CL4" s="162">
        <f t="shared" si="4"/>
        <v>0.16076626913325195</v>
      </c>
      <c r="CM4" s="163">
        <f t="shared" si="4"/>
        <v>8.0758756690769082E-3</v>
      </c>
      <c r="CN4" s="161">
        <f t="shared" ref="CN4:CP4" si="5">IF($CG4=0,0,CH4/$CG4)</f>
        <v>0.71580817051509771</v>
      </c>
      <c r="CO4" s="162">
        <f t="shared" si="5"/>
        <v>0.24689165186500889</v>
      </c>
      <c r="CP4" s="163">
        <f t="shared" si="5"/>
        <v>1.8354055654233273E-2</v>
      </c>
    </row>
    <row r="5" spans="1:94" s="199" customFormat="1" x14ac:dyDescent="0.15">
      <c r="A5" s="201" t="str">
        <f>管理者入力シート!B2</f>
        <v>45205_8</v>
      </c>
      <c r="B5" s="221" t="str">
        <f>VLOOKUP($A$5,$A$7:$CP$50,2,FALSE)</f>
        <v>小林市</v>
      </c>
      <c r="C5" s="221" t="str">
        <f>VLOOKUP($A$5,$A$7:$CP$50,3,FALSE)</f>
        <v>永久津中学校区</v>
      </c>
      <c r="D5" s="206">
        <f>VLOOKUP($A$5,$A$7:$CP$70,4,FALSE)</f>
        <v>397.5</v>
      </c>
      <c r="E5" s="207">
        <f>VLOOKUP($A$5,$A$7:$CP$70,5,FALSE)</f>
        <v>249.29999999999998</v>
      </c>
      <c r="F5" s="207">
        <f>VLOOKUP($A$5,$A$7:$CP$70,6,FALSE)</f>
        <v>84</v>
      </c>
      <c r="G5" s="208">
        <f>VLOOKUP($A$5,$A$7:$CP$70,7,FALSE)</f>
        <v>79.5</v>
      </c>
      <c r="H5" s="196">
        <f>VLOOKUP($A$5,$A$7:$CP$70,8,FALSE)</f>
        <v>0.62716981132075467</v>
      </c>
      <c r="I5" s="197">
        <f>VLOOKUP($A$5,$A$7:$CP$70,9,FALSE)</f>
        <v>0.21132075471698114</v>
      </c>
      <c r="J5" s="198">
        <f>VLOOKUP($A$5,$A$7:$CP$70,10,FALSE)</f>
        <v>0.2</v>
      </c>
      <c r="K5" s="206">
        <f>VLOOKUP($A$5,$A$7:$CP$70,11,FALSE)</f>
        <v>953.69999999999993</v>
      </c>
      <c r="L5" s="207">
        <f>VLOOKUP($A$5,$A$7:$CP$70,12,FALSE)</f>
        <v>168.6</v>
      </c>
      <c r="M5" s="207">
        <f>VLOOKUP($A$5,$A$7:$CP$70,13,FALSE)</f>
        <v>227.39999999999998</v>
      </c>
      <c r="N5" s="208">
        <f>VLOOKUP($A$5,$A$7:$CP$70,14,FALSE)</f>
        <v>551.4</v>
      </c>
      <c r="O5" s="196">
        <f>VLOOKUP($A$5,$A$7:$CP$70,15,FALSE)</f>
        <v>0.17678515256369928</v>
      </c>
      <c r="P5" s="197">
        <f>VLOOKUP($A$5,$A$7:$CP$70,16,FALSE)</f>
        <v>0.23843976093111041</v>
      </c>
      <c r="Q5" s="198">
        <f>VLOOKUP($A$5,$A$7:$CP$70,17,FALSE)</f>
        <v>0.57816923560868194</v>
      </c>
      <c r="R5" s="206">
        <f>VLOOKUP($A$5,$A$7:$CP$70,18,FALSE)</f>
        <v>953.69999999999993</v>
      </c>
      <c r="S5" s="207">
        <f>VLOOKUP($A$5,$A$7:$CP$70,19,FALSE)</f>
        <v>88.2</v>
      </c>
      <c r="T5" s="207">
        <f>VLOOKUP($A$5,$A$7:$CP$70,20,FALSE)</f>
        <v>26.4</v>
      </c>
      <c r="U5" s="207">
        <f>VLOOKUP($A$5,$A$7:$CP$70,21,FALSE)</f>
        <v>17.7</v>
      </c>
      <c r="V5" s="207">
        <f>VLOOKUP($A$5,$A$7:$CP$70,22,FALSE)</f>
        <v>7.8</v>
      </c>
      <c r="W5" s="208">
        <f>VLOOKUP($A$5,$A$7:$CP$70,23,FALSE)</f>
        <v>140.1</v>
      </c>
      <c r="X5" s="206">
        <f>VLOOKUP($A$5,$A$7:$CP$70,24,FALSE)</f>
        <v>443.4</v>
      </c>
      <c r="Y5" s="207">
        <f>VLOOKUP($A$5,$A$7:$CP$70,25,FALSE)</f>
        <v>35.699999999999996</v>
      </c>
      <c r="Z5" s="207">
        <f>VLOOKUP($A$5,$A$7:$CP$70,26,FALSE)</f>
        <v>12</v>
      </c>
      <c r="AA5" s="207">
        <f>VLOOKUP($A$5,$A$7:$CP$70,27,FALSE)</f>
        <v>9.2999999999999989</v>
      </c>
      <c r="AB5" s="207">
        <f>VLOOKUP($A$5,$A$7:$CP$70,28,FALSE)</f>
        <v>0.3</v>
      </c>
      <c r="AC5" s="209">
        <f>VLOOKUP($A$5,$A$7:$CP$70,29,FALSE)</f>
        <v>57.29999999999999</v>
      </c>
      <c r="AD5" s="206">
        <f>VLOOKUP($A$5,$A$7:$CP$70,30,FALSE)</f>
        <v>510.29999999999995</v>
      </c>
      <c r="AE5" s="207">
        <f>VLOOKUP($A$5,$A$7:$CP$70,31,FALSE)</f>
        <v>52.5</v>
      </c>
      <c r="AF5" s="207">
        <f>VLOOKUP($A$5,$A$7:$CP$70,32,FALSE)</f>
        <v>14.399999999999999</v>
      </c>
      <c r="AG5" s="207">
        <f>VLOOKUP($A$5,$A$7:$CP$70,33,FALSE)</f>
        <v>8.4</v>
      </c>
      <c r="AH5" s="207">
        <f>VLOOKUP($A$5,$A$7:$CP$70,34,FALSE)</f>
        <v>7.5</v>
      </c>
      <c r="AI5" s="209">
        <f>VLOOKUP($A$5,$A$7:$CP$70,35,FALSE)</f>
        <v>82.800000000000011</v>
      </c>
      <c r="AJ5" s="196">
        <f>VLOOKUP($A$5,$A$7:$CP$70,36,FALSE)</f>
        <v>0.14690154136520919</v>
      </c>
      <c r="AK5" s="197">
        <f>VLOOKUP($A$5,$A$7:$CP$70,37,FALSE)</f>
        <v>0.18843683083511778</v>
      </c>
      <c r="AL5" s="197">
        <f>VLOOKUP($A$5,$A$7:$CP$70,38,FALSE)</f>
        <v>0.12633832976445397</v>
      </c>
      <c r="AM5" s="197">
        <f>VLOOKUP($A$5,$A$7:$CP$70,39,FALSE)</f>
        <v>5.5674518201284801E-2</v>
      </c>
      <c r="AN5" s="200">
        <f>VLOOKUP($A$5,$A$7:$CP$70,40,FALSE)</f>
        <v>0.40899357601713054</v>
      </c>
      <c r="AO5" s="198">
        <f>VLOOKUP($A$5,$A$7:$CP$70,41,FALSE)</f>
        <v>0.59100642398286951</v>
      </c>
      <c r="AP5" s="210">
        <f>VLOOKUP($A$5,$A$7:$CP$70,42,FALSE)</f>
        <v>479.09999999999997</v>
      </c>
      <c r="AQ5" s="207">
        <f>VLOOKUP($A$5,$A$7:$CP$70,43,FALSE)</f>
        <v>145.79999999999998</v>
      </c>
      <c r="AR5" s="207">
        <f>VLOOKUP($A$5,$A$7:$CP$70,44,FALSE)</f>
        <v>0</v>
      </c>
      <c r="AS5" s="207">
        <f>VLOOKUP($A$5,$A$7:$CP$70,45,FALSE)</f>
        <v>0</v>
      </c>
      <c r="AT5" s="207">
        <f>VLOOKUP($A$5,$A$7:$CP$70,46,FALSE)</f>
        <v>44.4</v>
      </c>
      <c r="AU5" s="207">
        <f>VLOOKUP($A$5,$A$7:$CP$70,47,FALSE)</f>
        <v>55.199999999999996</v>
      </c>
      <c r="AV5" s="207">
        <f>VLOOKUP($A$5,$A$7:$CP$70,48,FALSE)</f>
        <v>0.6</v>
      </c>
      <c r="AW5" s="207">
        <f>VLOOKUP($A$5,$A$7:$CP$70,49,FALSE)</f>
        <v>0</v>
      </c>
      <c r="AX5" s="207">
        <f>VLOOKUP($A$5,$A$7:$CP$70,50,FALSE)</f>
        <v>14.399999999999999</v>
      </c>
      <c r="AY5" s="207">
        <f>VLOOKUP($A$5,$A$7:$CP$70,51,FALSE)</f>
        <v>43.8</v>
      </c>
      <c r="AZ5" s="207">
        <f>VLOOKUP($A$5,$A$7:$CP$70,52,FALSE)</f>
        <v>4.2</v>
      </c>
      <c r="BA5" s="207">
        <f>VLOOKUP($A$5,$A$7:$CP$70,53,FALSE)</f>
        <v>4.5</v>
      </c>
      <c r="BB5" s="207">
        <f>VLOOKUP($A$5,$A$7:$CP$70,54,FALSE)</f>
        <v>6</v>
      </c>
      <c r="BC5" s="207">
        <f>VLOOKUP($A$5,$A$7:$CP$70,55,FALSE)</f>
        <v>12.9</v>
      </c>
      <c r="BD5" s="207">
        <f>VLOOKUP($A$5,$A$7:$CP$70,56,FALSE)</f>
        <v>10.799999999999999</v>
      </c>
      <c r="BE5" s="207">
        <f>VLOOKUP($A$5,$A$7:$CP$70,57,FALSE)</f>
        <v>9.6</v>
      </c>
      <c r="BF5" s="207">
        <f>VLOOKUP($A$5,$A$7:$CP$70,58,FALSE)</f>
        <v>78.899999999999991</v>
      </c>
      <c r="BG5" s="207">
        <f>VLOOKUP($A$5,$A$7:$CP$70,59,FALSE)</f>
        <v>8.4</v>
      </c>
      <c r="BH5" s="207">
        <f>VLOOKUP($A$5,$A$7:$CP$70,60,FALSE)</f>
        <v>17.399999999999999</v>
      </c>
      <c r="BI5" s="207">
        <f>VLOOKUP($A$5,$A$7:$CP$70,61,FALSE)</f>
        <v>13.5</v>
      </c>
      <c r="BJ5" s="196">
        <f>VLOOKUP($A$5,$A$7:$CP$70,62,FALSE)</f>
        <v>0.30432060112711334</v>
      </c>
      <c r="BK5" s="197">
        <f>VLOOKUP($A$5,$A$7:$CP$70,63,FALSE)</f>
        <v>0</v>
      </c>
      <c r="BL5" s="197">
        <f>VLOOKUP($A$5,$A$7:$CP$70,64,FALSE)</f>
        <v>0</v>
      </c>
      <c r="BM5" s="197">
        <f>VLOOKUP($A$5,$A$7:$CP$70,65,FALSE)</f>
        <v>9.2673763306199128E-2</v>
      </c>
      <c r="BN5" s="197">
        <f>VLOOKUP($A$5,$A$7:$CP$70,66,FALSE)</f>
        <v>0.11521603005635567</v>
      </c>
      <c r="BO5" s="197">
        <f>VLOOKUP($A$5,$A$7:$CP$70,67,FALSE)</f>
        <v>1.2523481527864746E-3</v>
      </c>
      <c r="BP5" s="197">
        <f>VLOOKUP($A$5,$A$7:$CP$70,68,FALSE)</f>
        <v>0</v>
      </c>
      <c r="BQ5" s="197">
        <f>VLOOKUP($A$5,$A$7:$CP$70,69,FALSE)</f>
        <v>3.0056355666875392E-2</v>
      </c>
      <c r="BR5" s="197">
        <f>VLOOKUP($A$5,$A$7:$CP$70,70,FALSE)</f>
        <v>9.142141515341265E-2</v>
      </c>
      <c r="BS5" s="197">
        <f>VLOOKUP($A$5,$A$7:$CP$70,71,FALSE)</f>
        <v>8.7664370695053236E-3</v>
      </c>
      <c r="BT5" s="197">
        <f>VLOOKUP($A$5,$A$7:$CP$70,72,FALSE)</f>
        <v>9.392611145898561E-3</v>
      </c>
      <c r="BU5" s="197">
        <f>VLOOKUP($A$5,$A$7:$CP$70,73,FALSE)</f>
        <v>1.2523481527864748E-2</v>
      </c>
      <c r="BV5" s="197">
        <f>VLOOKUP($A$5,$A$7:$CP$70,74,FALSE)</f>
        <v>2.6925485284909206E-2</v>
      </c>
      <c r="BW5" s="197">
        <f>VLOOKUP($A$5,$A$7:$CP$70,75,FALSE)</f>
        <v>2.2542266750156543E-2</v>
      </c>
      <c r="BX5" s="197">
        <f>VLOOKUP($A$5,$A$7:$CP$70,76,FALSE)</f>
        <v>2.0037570444583593E-2</v>
      </c>
      <c r="BY5" s="197">
        <f>VLOOKUP($A$5,$A$7:$CP$70,77,FALSE)</f>
        <v>0.1646837820914214</v>
      </c>
      <c r="BZ5" s="197">
        <f>VLOOKUP($A$5,$A$7:$CP$70,78,FALSE)</f>
        <v>1.7532874139010647E-2</v>
      </c>
      <c r="CA5" s="197">
        <f>VLOOKUP($A$5,$A$7:$CP$70,79,FALSE)</f>
        <v>3.6318096430807766E-2</v>
      </c>
      <c r="CB5" s="198">
        <f>VLOOKUP($A$5,$A$7:$CP$70,80,FALSE)</f>
        <v>2.8177833437695681E-2</v>
      </c>
      <c r="CC5" s="206">
        <f>VLOOKUP($A$5,$A$7:$CP$70,81,FALSE)</f>
        <v>479.09999999999997</v>
      </c>
      <c r="CD5" s="208">
        <f>VLOOKUP($A$5,$A$7:$CP$70,82,FALSE)</f>
        <v>391.79999999999995</v>
      </c>
      <c r="CE5" s="207">
        <f>VLOOKUP($A$5,$A$7:$CP$70,83,FALSE)</f>
        <v>78.3</v>
      </c>
      <c r="CF5" s="209">
        <f>VLOOKUP($A$5,$A$7:$CP$70,84,FALSE)</f>
        <v>2.4</v>
      </c>
      <c r="CG5" s="206">
        <f>VLOOKUP($A$5,$A$7:$CP$70,85,FALSE)</f>
        <v>33</v>
      </c>
      <c r="CH5" s="207">
        <f>VLOOKUP($A$5,$A$7:$CP$70,86,FALSE)</f>
        <v>23.4</v>
      </c>
      <c r="CI5" s="207">
        <f>VLOOKUP($A$5,$A$7:$CP$70,87,FALSE)</f>
        <v>9</v>
      </c>
      <c r="CJ5" s="209">
        <f>VLOOKUP($A$5,$A$7:$CP$70,88,FALSE)</f>
        <v>0.6</v>
      </c>
      <c r="CK5" s="196">
        <f>VLOOKUP($A$5,$A$7:$CP$70,89,FALSE)</f>
        <v>0.81778334376956785</v>
      </c>
      <c r="CL5" s="197">
        <f>VLOOKUP($A$5,$A$7:$CP$70,90,FALSE)</f>
        <v>0.16343143393863493</v>
      </c>
      <c r="CM5" s="198">
        <f>VLOOKUP($A$5,$A$7:$CP$70,91,FALSE)</f>
        <v>5.0093926111458983E-3</v>
      </c>
      <c r="CN5" s="196">
        <f>VLOOKUP($A$5,$A$7:$CP$70,92,FALSE)</f>
        <v>0.70909090909090899</v>
      </c>
      <c r="CO5" s="197">
        <f>VLOOKUP($A$5,$A$7:$CP$70,93,FALSE)</f>
        <v>0.27272727272727271</v>
      </c>
      <c r="CP5" s="198">
        <f>VLOOKUP($A$5,$A$7:$CP$70,94,FALSE)</f>
        <v>1.8181818181818181E-2</v>
      </c>
    </row>
    <row r="6" spans="1:94" s="265" customFormat="1" x14ac:dyDescent="0.15"/>
    <row r="7" spans="1:94" x14ac:dyDescent="0.15">
      <c r="A7" t="s">
        <v>428</v>
      </c>
      <c r="B7" t="s">
        <v>429</v>
      </c>
      <c r="C7" t="s">
        <v>430</v>
      </c>
      <c r="D7">
        <v>1622.3</v>
      </c>
      <c r="E7">
        <v>978.09999999999991</v>
      </c>
      <c r="F7">
        <v>325.60000000000002</v>
      </c>
      <c r="G7">
        <v>314.70000000000005</v>
      </c>
      <c r="H7">
        <v>0.60290944954693948</v>
      </c>
      <c r="I7">
        <v>0.20070270603464219</v>
      </c>
      <c r="J7">
        <v>0.19398385008937932</v>
      </c>
      <c r="K7">
        <v>3841.7</v>
      </c>
      <c r="L7">
        <v>655.4</v>
      </c>
      <c r="M7">
        <v>967</v>
      </c>
      <c r="N7">
        <v>2200.6</v>
      </c>
      <c r="O7">
        <v>0.17060155660254575</v>
      </c>
      <c r="P7">
        <v>0.25171148189603559</v>
      </c>
      <c r="Q7">
        <v>0.57281932477809305</v>
      </c>
      <c r="R7">
        <v>3841.7</v>
      </c>
      <c r="S7">
        <v>365.79999999999995</v>
      </c>
      <c r="T7">
        <v>107.19999999999999</v>
      </c>
      <c r="U7">
        <v>90.5</v>
      </c>
      <c r="V7">
        <v>30.2</v>
      </c>
      <c r="W7">
        <v>593.70000000000005</v>
      </c>
      <c r="X7">
        <v>1793.8</v>
      </c>
      <c r="Y7">
        <v>154.5</v>
      </c>
      <c r="Z7">
        <v>49.2</v>
      </c>
      <c r="AA7">
        <v>48.1</v>
      </c>
      <c r="AB7">
        <v>1.5</v>
      </c>
      <c r="AC7">
        <v>253.29999999999998</v>
      </c>
      <c r="AD7">
        <v>2047.8999999999999</v>
      </c>
      <c r="AE7">
        <v>211.3</v>
      </c>
      <c r="AF7">
        <v>58</v>
      </c>
      <c r="AG7">
        <v>42.4</v>
      </c>
      <c r="AH7">
        <v>28.700000000000003</v>
      </c>
      <c r="AI7">
        <v>340.4</v>
      </c>
      <c r="AJ7">
        <v>0.15454095842986179</v>
      </c>
      <c r="AK7">
        <v>0.18056257369041601</v>
      </c>
      <c r="AL7">
        <v>0.15243388916961428</v>
      </c>
      <c r="AM7">
        <v>5.0867441468755256E-2</v>
      </c>
      <c r="AN7">
        <v>0.42664645443826843</v>
      </c>
      <c r="AO7">
        <v>0.57335354556173146</v>
      </c>
      <c r="AP7">
        <v>1962.6999999999998</v>
      </c>
      <c r="AQ7">
        <v>573.4</v>
      </c>
      <c r="AR7">
        <v>1.2000000000000002</v>
      </c>
      <c r="AS7">
        <v>0.4</v>
      </c>
      <c r="AT7">
        <v>174.39999999999998</v>
      </c>
      <c r="AU7">
        <v>210.39999999999998</v>
      </c>
      <c r="AV7">
        <v>1.7999999999999998</v>
      </c>
      <c r="AW7">
        <v>0.8</v>
      </c>
      <c r="AX7">
        <v>57.199999999999996</v>
      </c>
      <c r="AY7">
        <v>207</v>
      </c>
      <c r="AZ7">
        <v>16.600000000000001</v>
      </c>
      <c r="BA7">
        <v>13.7</v>
      </c>
      <c r="BB7">
        <v>28.8</v>
      </c>
      <c r="BC7">
        <v>60.5</v>
      </c>
      <c r="BD7">
        <v>44.8</v>
      </c>
      <c r="BE7">
        <v>48.8</v>
      </c>
      <c r="BF7">
        <v>321.7</v>
      </c>
      <c r="BG7">
        <v>37.599999999999994</v>
      </c>
      <c r="BH7">
        <v>74.599999999999994</v>
      </c>
      <c r="BI7">
        <v>59.5</v>
      </c>
      <c r="BJ7">
        <v>0.29214857084628321</v>
      </c>
      <c r="BK7">
        <v>6.1140265960156937E-4</v>
      </c>
      <c r="BL7">
        <v>2.0380088653385646E-4</v>
      </c>
      <c r="BM7">
        <v>8.88571865287614E-2</v>
      </c>
      <c r="BN7">
        <v>0.10719926631680847</v>
      </c>
      <c r="BO7">
        <v>9.1710398940235394E-4</v>
      </c>
      <c r="BP7">
        <v>4.0760177306771293E-4</v>
      </c>
      <c r="BQ7">
        <v>2.9143526774341469E-2</v>
      </c>
      <c r="BR7">
        <v>0.10546695878127071</v>
      </c>
      <c r="BS7">
        <v>8.4577367911550429E-3</v>
      </c>
      <c r="BT7">
        <v>6.9801803637845831E-3</v>
      </c>
      <c r="BU7">
        <v>1.4673663830437665E-2</v>
      </c>
      <c r="BV7">
        <v>3.0824884088245786E-2</v>
      </c>
      <c r="BW7">
        <v>2.2825699291791918E-2</v>
      </c>
      <c r="BX7">
        <v>2.4863708157130484E-2</v>
      </c>
      <c r="BY7">
        <v>0.16390686299485405</v>
      </c>
      <c r="BZ7">
        <v>1.9157283334182502E-2</v>
      </c>
      <c r="CA7">
        <v>3.8008865338564221E-2</v>
      </c>
      <c r="CB7">
        <v>3.0315381871911146E-2</v>
      </c>
      <c r="CC7">
        <v>1962.6999999999998</v>
      </c>
      <c r="CD7">
        <v>1610.9999999999998</v>
      </c>
      <c r="CE7">
        <v>315.5</v>
      </c>
      <c r="CF7">
        <v>13.2</v>
      </c>
      <c r="CG7">
        <v>130.19999999999999</v>
      </c>
      <c r="CH7">
        <v>88.6</v>
      </c>
      <c r="CI7">
        <v>38.200000000000003</v>
      </c>
      <c r="CJ7">
        <v>1.7999999999999998</v>
      </c>
      <c r="CK7">
        <v>0.82080807051510674</v>
      </c>
      <c r="CL7">
        <v>0.16074794925357927</v>
      </c>
      <c r="CM7">
        <v>6.7254292556172624E-3</v>
      </c>
      <c r="CN7">
        <v>0.68049155145929341</v>
      </c>
      <c r="CO7">
        <v>0.29339477726574503</v>
      </c>
      <c r="CP7">
        <v>1.3824884792626727E-2</v>
      </c>
    </row>
    <row r="8" spans="1:94" x14ac:dyDescent="0.15">
      <c r="A8" t="s">
        <v>431</v>
      </c>
      <c r="B8" t="s">
        <v>429</v>
      </c>
      <c r="C8" t="s">
        <v>432</v>
      </c>
      <c r="D8">
        <v>2350.35</v>
      </c>
      <c r="E8">
        <v>1136.25</v>
      </c>
      <c r="F8">
        <v>399.6</v>
      </c>
      <c r="G8">
        <v>441.45</v>
      </c>
      <c r="H8">
        <v>0.48343863679877469</v>
      </c>
      <c r="I8">
        <v>0.17001723147616313</v>
      </c>
      <c r="J8">
        <v>0.18782309017805859</v>
      </c>
      <c r="K8">
        <v>4929.75</v>
      </c>
      <c r="L8">
        <v>524.25</v>
      </c>
      <c r="M8">
        <v>1818</v>
      </c>
      <c r="N8">
        <v>2535.3000000000002</v>
      </c>
      <c r="O8">
        <v>0.10634413509812871</v>
      </c>
      <c r="P8">
        <v>0.36878137836604291</v>
      </c>
      <c r="Q8">
        <v>0.51428571428571435</v>
      </c>
      <c r="R8">
        <v>4929.75</v>
      </c>
      <c r="S8">
        <v>598.05000000000007</v>
      </c>
      <c r="T8">
        <v>248.85</v>
      </c>
      <c r="U8">
        <v>241.20000000000002</v>
      </c>
      <c r="V8">
        <v>49.95</v>
      </c>
      <c r="W8">
        <v>1138.0500000000002</v>
      </c>
      <c r="X8">
        <v>2284.2000000000003</v>
      </c>
      <c r="Y8">
        <v>270</v>
      </c>
      <c r="Z8">
        <v>126.45</v>
      </c>
      <c r="AA8">
        <v>148.5</v>
      </c>
      <c r="AB8">
        <v>12.6</v>
      </c>
      <c r="AC8">
        <v>557.55000000000007</v>
      </c>
      <c r="AD8">
        <v>2645.55</v>
      </c>
      <c r="AE8">
        <v>328.05</v>
      </c>
      <c r="AF8">
        <v>122.4</v>
      </c>
      <c r="AG8">
        <v>92.7</v>
      </c>
      <c r="AH8">
        <v>37.35</v>
      </c>
      <c r="AI8">
        <v>580.50000000000011</v>
      </c>
      <c r="AJ8">
        <v>0.230853491556367</v>
      </c>
      <c r="AK8">
        <v>0.21866350336101223</v>
      </c>
      <c r="AL8">
        <v>0.21194147884539341</v>
      </c>
      <c r="AM8">
        <v>4.3890865954922892E-2</v>
      </c>
      <c r="AN8">
        <v>0.48991696322657174</v>
      </c>
      <c r="AO8">
        <v>0.51008303677342826</v>
      </c>
      <c r="AP8">
        <v>2380.5</v>
      </c>
      <c r="AQ8">
        <v>212.85</v>
      </c>
      <c r="AR8">
        <v>0.9</v>
      </c>
      <c r="AS8">
        <v>0</v>
      </c>
      <c r="AT8">
        <v>181.8</v>
      </c>
      <c r="AU8">
        <v>310.05</v>
      </c>
      <c r="AV8">
        <v>4.05</v>
      </c>
      <c r="AW8">
        <v>4.95</v>
      </c>
      <c r="AX8">
        <v>63</v>
      </c>
      <c r="AY8">
        <v>367.65000000000003</v>
      </c>
      <c r="AZ8">
        <v>37.35</v>
      </c>
      <c r="BA8">
        <v>22.95</v>
      </c>
      <c r="BB8">
        <v>52.65</v>
      </c>
      <c r="BC8">
        <v>114.75</v>
      </c>
      <c r="BD8">
        <v>95.850000000000009</v>
      </c>
      <c r="BE8">
        <v>117</v>
      </c>
      <c r="BF8">
        <v>457.2</v>
      </c>
      <c r="BG8">
        <v>41.85</v>
      </c>
      <c r="BH8">
        <v>125.55</v>
      </c>
      <c r="BI8">
        <v>126</v>
      </c>
      <c r="BJ8">
        <v>8.9413988657844987E-2</v>
      </c>
      <c r="BK8">
        <v>3.7807183364839322E-4</v>
      </c>
      <c r="BL8">
        <v>0</v>
      </c>
      <c r="BM8">
        <v>7.6370510396975427E-2</v>
      </c>
      <c r="BN8">
        <v>0.13024574669187147</v>
      </c>
      <c r="BO8">
        <v>1.7013232514177692E-3</v>
      </c>
      <c r="BP8">
        <v>2.0793950850661628E-3</v>
      </c>
      <c r="BQ8">
        <v>2.6465028355387523E-2</v>
      </c>
      <c r="BR8">
        <v>0.15444234404536863</v>
      </c>
      <c r="BS8">
        <v>1.5689981096408318E-2</v>
      </c>
      <c r="BT8">
        <v>9.6408317580340269E-3</v>
      </c>
      <c r="BU8">
        <v>2.2117202268431002E-2</v>
      </c>
      <c r="BV8">
        <v>4.8204158790170135E-2</v>
      </c>
      <c r="BW8">
        <v>4.0264650283553881E-2</v>
      </c>
      <c r="BX8">
        <v>4.9149338374291113E-2</v>
      </c>
      <c r="BY8">
        <v>0.19206049149338375</v>
      </c>
      <c r="BZ8">
        <v>1.7580340264650284E-2</v>
      </c>
      <c r="CA8">
        <v>5.2741020793950849E-2</v>
      </c>
      <c r="CB8">
        <v>5.2930056710775046E-2</v>
      </c>
      <c r="CC8">
        <v>2380.5</v>
      </c>
      <c r="CD8">
        <v>1941.7500000000002</v>
      </c>
      <c r="CE8">
        <v>383.40000000000003</v>
      </c>
      <c r="CF8">
        <v>22.95</v>
      </c>
      <c r="CG8">
        <v>202.95000000000002</v>
      </c>
      <c r="CH8">
        <v>152.55000000000001</v>
      </c>
      <c r="CI8">
        <v>41.85</v>
      </c>
      <c r="CJ8">
        <v>4.5</v>
      </c>
      <c r="CK8">
        <v>0.81568998109640845</v>
      </c>
      <c r="CL8">
        <v>0.16105860113421552</v>
      </c>
      <c r="CM8">
        <v>9.6408317580340269E-3</v>
      </c>
      <c r="CN8">
        <v>0.75166297117516634</v>
      </c>
      <c r="CO8">
        <v>0.20620842572062084</v>
      </c>
      <c r="CP8">
        <v>2.2172949002217293E-2</v>
      </c>
    </row>
    <row r="9" spans="1:94" x14ac:dyDescent="0.15">
      <c r="A9" t="s">
        <v>433</v>
      </c>
      <c r="B9" t="s">
        <v>429</v>
      </c>
      <c r="C9" t="s">
        <v>434</v>
      </c>
      <c r="D9">
        <v>586</v>
      </c>
      <c r="E9">
        <v>418</v>
      </c>
      <c r="F9">
        <v>131</v>
      </c>
      <c r="G9">
        <v>145</v>
      </c>
      <c r="H9">
        <v>0.71331058020477811</v>
      </c>
      <c r="I9">
        <v>0.2235494880546075</v>
      </c>
      <c r="J9">
        <v>0.24744027303754265</v>
      </c>
      <c r="K9">
        <v>1278</v>
      </c>
      <c r="L9">
        <v>255</v>
      </c>
      <c r="M9">
        <v>245</v>
      </c>
      <c r="N9">
        <v>778</v>
      </c>
      <c r="O9">
        <v>0.19953051643192488</v>
      </c>
      <c r="P9">
        <v>0.19170579029733958</v>
      </c>
      <c r="Q9">
        <v>0.60876369327073554</v>
      </c>
      <c r="R9">
        <v>1278</v>
      </c>
      <c r="S9">
        <v>83</v>
      </c>
      <c r="T9">
        <v>16</v>
      </c>
      <c r="U9">
        <v>28</v>
      </c>
      <c r="V9">
        <v>0</v>
      </c>
      <c r="W9">
        <v>127</v>
      </c>
      <c r="X9">
        <v>590</v>
      </c>
      <c r="Y9">
        <v>33</v>
      </c>
      <c r="Z9">
        <v>12</v>
      </c>
      <c r="AA9">
        <v>13</v>
      </c>
      <c r="AB9">
        <v>0</v>
      </c>
      <c r="AC9">
        <v>58</v>
      </c>
      <c r="AD9">
        <v>688</v>
      </c>
      <c r="AE9">
        <v>50</v>
      </c>
      <c r="AF9">
        <v>4</v>
      </c>
      <c r="AG9">
        <v>15</v>
      </c>
      <c r="AH9">
        <v>0</v>
      </c>
      <c r="AI9">
        <v>69</v>
      </c>
      <c r="AJ9">
        <v>9.9374021909233182E-2</v>
      </c>
      <c r="AK9">
        <v>0.12598425196850394</v>
      </c>
      <c r="AL9">
        <v>0.22047244094488189</v>
      </c>
      <c r="AM9">
        <v>0</v>
      </c>
      <c r="AN9">
        <v>0.45669291338582679</v>
      </c>
      <c r="AO9">
        <v>0.54330708661417326</v>
      </c>
      <c r="AP9">
        <v>638</v>
      </c>
      <c r="AQ9">
        <v>213</v>
      </c>
      <c r="AR9">
        <v>0</v>
      </c>
      <c r="AS9">
        <v>1</v>
      </c>
      <c r="AT9">
        <v>54</v>
      </c>
      <c r="AU9">
        <v>73</v>
      </c>
      <c r="AV9">
        <v>0</v>
      </c>
      <c r="AW9">
        <v>0</v>
      </c>
      <c r="AX9">
        <v>10</v>
      </c>
      <c r="AY9">
        <v>56</v>
      </c>
      <c r="AZ9">
        <v>3</v>
      </c>
      <c r="BA9">
        <v>2</v>
      </c>
      <c r="BB9">
        <v>11</v>
      </c>
      <c r="BC9">
        <v>22</v>
      </c>
      <c r="BD9">
        <v>16</v>
      </c>
      <c r="BE9">
        <v>9</v>
      </c>
      <c r="BF9">
        <v>91</v>
      </c>
      <c r="BG9">
        <v>7</v>
      </c>
      <c r="BH9">
        <v>39</v>
      </c>
      <c r="BI9">
        <v>31</v>
      </c>
      <c r="BJ9">
        <v>0.33385579937304077</v>
      </c>
      <c r="BK9">
        <v>0</v>
      </c>
      <c r="BL9">
        <v>1.567398119122257E-3</v>
      </c>
      <c r="BM9">
        <v>8.4639498432601878E-2</v>
      </c>
      <c r="BN9">
        <v>0.11442006269592477</v>
      </c>
      <c r="BO9">
        <v>0</v>
      </c>
      <c r="BP9">
        <v>0</v>
      </c>
      <c r="BQ9">
        <v>1.5673981191222569E-2</v>
      </c>
      <c r="BR9">
        <v>8.7774294670846395E-2</v>
      </c>
      <c r="BS9">
        <v>4.7021943573667714E-3</v>
      </c>
      <c r="BT9">
        <v>3.134796238244514E-3</v>
      </c>
      <c r="BU9">
        <v>1.7241379310344827E-2</v>
      </c>
      <c r="BV9">
        <v>3.4482758620689655E-2</v>
      </c>
      <c r="BW9">
        <v>2.5078369905956112E-2</v>
      </c>
      <c r="BX9">
        <v>1.4106583072100314E-2</v>
      </c>
      <c r="BY9">
        <v>0.14263322884012539</v>
      </c>
      <c r="BZ9">
        <v>1.0971786833855799E-2</v>
      </c>
      <c r="CA9">
        <v>6.1128526645768025E-2</v>
      </c>
      <c r="CB9">
        <v>4.8589341692789965E-2</v>
      </c>
      <c r="CC9">
        <v>638</v>
      </c>
      <c r="CD9">
        <v>604</v>
      </c>
      <c r="CE9">
        <v>28</v>
      </c>
      <c r="CF9">
        <v>2</v>
      </c>
      <c r="CG9">
        <v>28</v>
      </c>
      <c r="CH9">
        <v>22</v>
      </c>
      <c r="CI9">
        <v>6</v>
      </c>
      <c r="CJ9">
        <v>0</v>
      </c>
      <c r="CK9">
        <v>0.94670846394984332</v>
      </c>
      <c r="CL9">
        <v>4.3887147335423198E-2</v>
      </c>
      <c r="CM9">
        <v>3.134796238244514E-3</v>
      </c>
      <c r="CN9">
        <v>0.7857142857142857</v>
      </c>
      <c r="CO9">
        <v>0.21428571428571427</v>
      </c>
      <c r="CP9">
        <v>0</v>
      </c>
    </row>
    <row r="10" spans="1:94" x14ac:dyDescent="0.15">
      <c r="A10" t="s">
        <v>435</v>
      </c>
      <c r="B10" t="s">
        <v>429</v>
      </c>
      <c r="C10" t="s">
        <v>436</v>
      </c>
      <c r="D10">
        <v>3112</v>
      </c>
      <c r="E10">
        <v>1852</v>
      </c>
      <c r="F10">
        <v>651</v>
      </c>
      <c r="G10">
        <v>625</v>
      </c>
      <c r="H10">
        <v>0.59511568123393321</v>
      </c>
      <c r="I10">
        <v>0.20919023136246787</v>
      </c>
      <c r="J10">
        <v>0.20083547557840617</v>
      </c>
      <c r="K10">
        <v>7128</v>
      </c>
      <c r="L10">
        <v>1187</v>
      </c>
      <c r="M10">
        <v>1994</v>
      </c>
      <c r="N10">
        <v>3943</v>
      </c>
      <c r="O10">
        <v>0.1665263748597082</v>
      </c>
      <c r="P10">
        <v>0.27974186307519638</v>
      </c>
      <c r="Q10">
        <v>0.5531705948372615</v>
      </c>
      <c r="R10">
        <v>7128</v>
      </c>
      <c r="S10">
        <v>654</v>
      </c>
      <c r="T10">
        <v>204</v>
      </c>
      <c r="U10">
        <v>142</v>
      </c>
      <c r="V10">
        <v>187</v>
      </c>
      <c r="W10">
        <v>1187</v>
      </c>
      <c r="X10">
        <v>3303</v>
      </c>
      <c r="Y10">
        <v>276</v>
      </c>
      <c r="Z10">
        <v>100</v>
      </c>
      <c r="AA10">
        <v>68</v>
      </c>
      <c r="AB10">
        <v>45</v>
      </c>
      <c r="AC10">
        <v>489</v>
      </c>
      <c r="AD10">
        <v>3825</v>
      </c>
      <c r="AE10">
        <v>378</v>
      </c>
      <c r="AF10">
        <v>104</v>
      </c>
      <c r="AG10">
        <v>74</v>
      </c>
      <c r="AH10">
        <v>142</v>
      </c>
      <c r="AI10">
        <v>698</v>
      </c>
      <c r="AJ10">
        <v>0.1665263748597082</v>
      </c>
      <c r="AK10">
        <v>0.17186183656276327</v>
      </c>
      <c r="AL10">
        <v>0.11962931760741365</v>
      </c>
      <c r="AM10">
        <v>0.15754001684919966</v>
      </c>
      <c r="AN10">
        <v>0.41196293176074139</v>
      </c>
      <c r="AO10">
        <v>0.58803706823925861</v>
      </c>
      <c r="AP10">
        <v>3618</v>
      </c>
      <c r="AQ10">
        <v>1136</v>
      </c>
      <c r="AR10">
        <v>0</v>
      </c>
      <c r="AS10">
        <v>3</v>
      </c>
      <c r="AT10">
        <v>358</v>
      </c>
      <c r="AU10">
        <v>345</v>
      </c>
      <c r="AV10">
        <v>6</v>
      </c>
      <c r="AW10">
        <v>12</v>
      </c>
      <c r="AX10">
        <v>105</v>
      </c>
      <c r="AY10">
        <v>372</v>
      </c>
      <c r="AZ10">
        <v>31</v>
      </c>
      <c r="BA10">
        <v>23</v>
      </c>
      <c r="BB10">
        <v>50</v>
      </c>
      <c r="BC10">
        <v>113</v>
      </c>
      <c r="BD10">
        <v>88</v>
      </c>
      <c r="BE10">
        <v>69</v>
      </c>
      <c r="BF10">
        <v>580</v>
      </c>
      <c r="BG10">
        <v>48</v>
      </c>
      <c r="BH10">
        <v>130</v>
      </c>
      <c r="BI10">
        <v>115</v>
      </c>
      <c r="BJ10">
        <v>0.31398562741846325</v>
      </c>
      <c r="BK10">
        <v>0</v>
      </c>
      <c r="BL10">
        <v>8.2918739635157548E-4</v>
      </c>
      <c r="BM10">
        <v>9.8949695964621331E-2</v>
      </c>
      <c r="BN10">
        <v>9.5356550580431174E-2</v>
      </c>
      <c r="BO10">
        <v>1.658374792703151E-3</v>
      </c>
      <c r="BP10">
        <v>3.3167495854063019E-3</v>
      </c>
      <c r="BQ10">
        <v>2.9021558872305141E-2</v>
      </c>
      <c r="BR10">
        <v>0.10281923714759536</v>
      </c>
      <c r="BS10">
        <v>8.5682697622996122E-3</v>
      </c>
      <c r="BT10">
        <v>6.3571033720287448E-3</v>
      </c>
      <c r="BU10">
        <v>1.3819789939192924E-2</v>
      </c>
      <c r="BV10">
        <v>3.1232725262576009E-2</v>
      </c>
      <c r="BW10">
        <v>2.4322830292979547E-2</v>
      </c>
      <c r="BX10">
        <v>1.9071310116086235E-2</v>
      </c>
      <c r="BY10">
        <v>0.16030956329463791</v>
      </c>
      <c r="BZ10">
        <v>1.3266998341625208E-2</v>
      </c>
      <c r="CA10">
        <v>3.5931453841901606E-2</v>
      </c>
      <c r="CB10">
        <v>3.1785516860143727E-2</v>
      </c>
      <c r="CC10">
        <v>3618</v>
      </c>
      <c r="CD10">
        <v>3014</v>
      </c>
      <c r="CE10">
        <v>550</v>
      </c>
      <c r="CF10">
        <v>18</v>
      </c>
      <c r="CG10">
        <v>245</v>
      </c>
      <c r="CH10">
        <v>141</v>
      </c>
      <c r="CI10">
        <v>95</v>
      </c>
      <c r="CJ10">
        <v>5</v>
      </c>
      <c r="CK10">
        <v>0.83305693753454946</v>
      </c>
      <c r="CL10">
        <v>0.15201768933112217</v>
      </c>
      <c r="CM10">
        <v>4.9751243781094526E-3</v>
      </c>
      <c r="CN10">
        <v>0.57551020408163267</v>
      </c>
      <c r="CO10">
        <v>0.38775510204081631</v>
      </c>
      <c r="CP10">
        <v>2.0408163265306121E-2</v>
      </c>
    </row>
    <row r="11" spans="1:94" x14ac:dyDescent="0.15">
      <c r="A11" t="s">
        <v>437</v>
      </c>
      <c r="B11" t="s">
        <v>429</v>
      </c>
      <c r="C11" t="s">
        <v>438</v>
      </c>
      <c r="D11">
        <v>2353.8000000000002</v>
      </c>
      <c r="E11">
        <v>1199.5999999999999</v>
      </c>
      <c r="F11">
        <v>403</v>
      </c>
      <c r="G11">
        <v>434</v>
      </c>
      <c r="H11">
        <v>0.50964397994731914</v>
      </c>
      <c r="I11">
        <v>0.17121250743478628</v>
      </c>
      <c r="J11">
        <v>0.18438270031438522</v>
      </c>
      <c r="K11">
        <v>5213.6000000000004</v>
      </c>
      <c r="L11">
        <v>685</v>
      </c>
      <c r="M11">
        <v>1756.6</v>
      </c>
      <c r="N11">
        <v>2728.7999999999997</v>
      </c>
      <c r="O11">
        <v>0.1313871413226945</v>
      </c>
      <c r="P11">
        <v>0.33692649992327756</v>
      </c>
      <c r="Q11">
        <v>0.52340033757864035</v>
      </c>
      <c r="R11">
        <v>5213.6000000000004</v>
      </c>
      <c r="S11">
        <v>589.79999999999995</v>
      </c>
      <c r="T11">
        <v>225</v>
      </c>
      <c r="U11">
        <v>225</v>
      </c>
      <c r="V11">
        <v>40.200000000000003</v>
      </c>
      <c r="W11">
        <v>1080</v>
      </c>
      <c r="X11">
        <v>2423</v>
      </c>
      <c r="Y11">
        <v>261.8</v>
      </c>
      <c r="Z11">
        <v>113</v>
      </c>
      <c r="AA11">
        <v>129.6</v>
      </c>
      <c r="AB11">
        <v>6.8000000000000007</v>
      </c>
      <c r="AC11">
        <v>511.2</v>
      </c>
      <c r="AD11">
        <v>2790.6</v>
      </c>
      <c r="AE11">
        <v>328</v>
      </c>
      <c r="AF11">
        <v>112</v>
      </c>
      <c r="AG11">
        <v>95.4</v>
      </c>
      <c r="AH11">
        <v>33.400000000000006</v>
      </c>
      <c r="AI11">
        <v>568.79999999999995</v>
      </c>
      <c r="AJ11">
        <v>0.2071505293846862</v>
      </c>
      <c r="AK11">
        <v>0.20833333333333334</v>
      </c>
      <c r="AL11">
        <v>0.20833333333333334</v>
      </c>
      <c r="AM11">
        <v>3.7222222222222226E-2</v>
      </c>
      <c r="AN11">
        <v>0.47333333333333333</v>
      </c>
      <c r="AO11">
        <v>0.52666666666666662</v>
      </c>
      <c r="AP11">
        <v>2592.1999999999998</v>
      </c>
      <c r="AQ11">
        <v>464.40000000000003</v>
      </c>
      <c r="AR11">
        <v>2.1999999999999997</v>
      </c>
      <c r="AS11">
        <v>0.6</v>
      </c>
      <c r="AT11">
        <v>198</v>
      </c>
      <c r="AU11">
        <v>272.2</v>
      </c>
      <c r="AV11">
        <v>3.4</v>
      </c>
      <c r="AW11">
        <v>4.4000000000000004</v>
      </c>
      <c r="AX11">
        <v>68.400000000000006</v>
      </c>
      <c r="AY11">
        <v>345.6</v>
      </c>
      <c r="AZ11">
        <v>30.8</v>
      </c>
      <c r="BA11">
        <v>23.000000000000004</v>
      </c>
      <c r="BB11">
        <v>56.600000000000009</v>
      </c>
      <c r="BC11">
        <v>125.6</v>
      </c>
      <c r="BD11">
        <v>85</v>
      </c>
      <c r="BE11">
        <v>111.6</v>
      </c>
      <c r="BF11">
        <v>467.6</v>
      </c>
      <c r="BG11">
        <v>50.6</v>
      </c>
      <c r="BH11">
        <v>115.80000000000001</v>
      </c>
      <c r="BI11">
        <v>132</v>
      </c>
      <c r="BJ11">
        <v>0.17915284314481911</v>
      </c>
      <c r="BK11">
        <v>8.4869994599182162E-4</v>
      </c>
      <c r="BL11">
        <v>2.3146362163413317E-4</v>
      </c>
      <c r="BM11">
        <v>7.6382995139263957E-2</v>
      </c>
      <c r="BN11">
        <v>0.10500732968135175</v>
      </c>
      <c r="BO11">
        <v>1.311627189260088E-3</v>
      </c>
      <c r="BP11">
        <v>1.6973998919836435E-3</v>
      </c>
      <c r="BQ11">
        <v>2.6386852866291187E-2</v>
      </c>
      <c r="BR11">
        <v>0.13332304606126072</v>
      </c>
      <c r="BS11">
        <v>1.1881799243885504E-2</v>
      </c>
      <c r="BT11">
        <v>8.8727721626417743E-3</v>
      </c>
      <c r="BU11">
        <v>2.1834734974153235E-2</v>
      </c>
      <c r="BV11">
        <v>4.8453051462078546E-2</v>
      </c>
      <c r="BW11">
        <v>3.2790679731502202E-2</v>
      </c>
      <c r="BX11">
        <v>4.305223362394877E-2</v>
      </c>
      <c r="BY11">
        <v>0.18038731579353448</v>
      </c>
      <c r="BZ11">
        <v>1.95200987578119E-2</v>
      </c>
      <c r="CA11">
        <v>4.467247897538771E-2</v>
      </c>
      <c r="CB11">
        <v>5.09219967595093E-2</v>
      </c>
      <c r="CC11">
        <v>2592.1999999999998</v>
      </c>
      <c r="CD11">
        <v>2110.1999999999998</v>
      </c>
      <c r="CE11">
        <v>427.6</v>
      </c>
      <c r="CF11">
        <v>24.6</v>
      </c>
      <c r="CG11">
        <v>192</v>
      </c>
      <c r="CH11">
        <v>135.80000000000001</v>
      </c>
      <c r="CI11">
        <v>47.400000000000006</v>
      </c>
      <c r="CJ11">
        <v>3.6</v>
      </c>
      <c r="CK11">
        <v>0.81405755728724638</v>
      </c>
      <c r="CL11">
        <v>0.16495640768459227</v>
      </c>
      <c r="CM11">
        <v>9.490008486999461E-3</v>
      </c>
      <c r="CN11">
        <v>0.70729166666666676</v>
      </c>
      <c r="CO11">
        <v>0.24687500000000004</v>
      </c>
      <c r="CP11">
        <v>1.8749999999999999E-2</v>
      </c>
    </row>
    <row r="12" spans="1:94" x14ac:dyDescent="0.15">
      <c r="A12" t="s">
        <v>439</v>
      </c>
      <c r="B12" t="s">
        <v>429</v>
      </c>
      <c r="C12" t="s">
        <v>440</v>
      </c>
      <c r="D12">
        <v>2591.3000000000002</v>
      </c>
      <c r="E12">
        <v>1048.95</v>
      </c>
      <c r="F12">
        <v>410.65000000000003</v>
      </c>
      <c r="G12">
        <v>328.45000000000005</v>
      </c>
      <c r="H12">
        <v>0.40479682012889284</v>
      </c>
      <c r="I12">
        <v>0.15847258132983444</v>
      </c>
      <c r="J12">
        <v>0.12675105159572417</v>
      </c>
      <c r="K12">
        <v>6531</v>
      </c>
      <c r="L12">
        <v>664.85</v>
      </c>
      <c r="M12">
        <v>2739.9500000000003</v>
      </c>
      <c r="N12">
        <v>3060.7</v>
      </c>
      <c r="O12">
        <v>0.10179911192772929</v>
      </c>
      <c r="P12">
        <v>0.41952993416015927</v>
      </c>
      <c r="Q12">
        <v>0.46864186188945028</v>
      </c>
      <c r="R12">
        <v>6531</v>
      </c>
      <c r="S12">
        <v>972.35</v>
      </c>
      <c r="T12">
        <v>433.65000000000003</v>
      </c>
      <c r="U12">
        <v>312.10000000000002</v>
      </c>
      <c r="V12">
        <v>10.75</v>
      </c>
      <c r="W12">
        <v>1728.85</v>
      </c>
      <c r="X12">
        <v>3083.9</v>
      </c>
      <c r="Y12">
        <v>431.45</v>
      </c>
      <c r="Z12">
        <v>211.45000000000002</v>
      </c>
      <c r="AA12">
        <v>171.15</v>
      </c>
      <c r="AB12">
        <v>2.95</v>
      </c>
      <c r="AC12">
        <v>817</v>
      </c>
      <c r="AD12">
        <v>3447.1</v>
      </c>
      <c r="AE12">
        <v>540.90000000000009</v>
      </c>
      <c r="AF12">
        <v>222.20000000000002</v>
      </c>
      <c r="AG12">
        <v>140.94999999999999</v>
      </c>
      <c r="AH12">
        <v>7.8000000000000007</v>
      </c>
      <c r="AI12">
        <v>911.85000000000014</v>
      </c>
      <c r="AJ12">
        <v>0.26471443883019447</v>
      </c>
      <c r="AK12">
        <v>0.2508314775717963</v>
      </c>
      <c r="AL12">
        <v>0.1805246261966047</v>
      </c>
      <c r="AM12">
        <v>6.21800618908523E-3</v>
      </c>
      <c r="AN12">
        <v>0.4725684703704775</v>
      </c>
      <c r="AO12">
        <v>0.52743152962952267</v>
      </c>
      <c r="AP12">
        <v>3096.15</v>
      </c>
      <c r="AQ12">
        <v>328.6</v>
      </c>
      <c r="AR12">
        <v>0.65</v>
      </c>
      <c r="AS12">
        <v>0</v>
      </c>
      <c r="AT12">
        <v>241.3</v>
      </c>
      <c r="AU12">
        <v>346.70000000000005</v>
      </c>
      <c r="AV12">
        <v>5.9</v>
      </c>
      <c r="AW12">
        <v>8.1999999999999993</v>
      </c>
      <c r="AX12">
        <v>102</v>
      </c>
      <c r="AY12">
        <v>453.90000000000003</v>
      </c>
      <c r="AZ12">
        <v>41.900000000000006</v>
      </c>
      <c r="BA12">
        <v>19.25</v>
      </c>
      <c r="BB12">
        <v>59</v>
      </c>
      <c r="BC12">
        <v>130.10000000000002</v>
      </c>
      <c r="BD12">
        <v>112.2</v>
      </c>
      <c r="BE12">
        <v>157.55000000000001</v>
      </c>
      <c r="BF12">
        <v>665.55</v>
      </c>
      <c r="BG12">
        <v>52.7</v>
      </c>
      <c r="BH12">
        <v>149.9</v>
      </c>
      <c r="BI12">
        <v>201.4</v>
      </c>
      <c r="BJ12">
        <v>0.10613180885938989</v>
      </c>
      <c r="BK12">
        <v>2.0993814899148943E-4</v>
      </c>
      <c r="BL12">
        <v>0</v>
      </c>
      <c r="BM12">
        <v>7.7935500540994462E-2</v>
      </c>
      <c r="BN12">
        <v>0.11197777885438367</v>
      </c>
      <c r="BO12">
        <v>1.9055924293073657E-3</v>
      </c>
      <c r="BP12">
        <v>2.6484504949695585E-3</v>
      </c>
      <c r="BQ12">
        <v>3.2944140303279877E-2</v>
      </c>
      <c r="BR12">
        <v>0.14660142434959547</v>
      </c>
      <c r="BS12">
        <v>1.353293606575909E-2</v>
      </c>
      <c r="BT12">
        <v>6.2173990278248789E-3</v>
      </c>
      <c r="BU12">
        <v>1.9055924293073654E-2</v>
      </c>
      <c r="BV12">
        <v>4.2019927975065811E-2</v>
      </c>
      <c r="BW12">
        <v>3.623855433360787E-2</v>
      </c>
      <c r="BX12">
        <v>5.0885777497860246E-2</v>
      </c>
      <c r="BY12">
        <v>0.21496051547890119</v>
      </c>
      <c r="BZ12">
        <v>1.7021139156694606E-2</v>
      </c>
      <c r="CA12">
        <v>4.8414966975114257E-2</v>
      </c>
      <c r="CB12">
        <v>6.5048528010593798E-2</v>
      </c>
      <c r="CC12">
        <v>3096.15</v>
      </c>
      <c r="CD12">
        <v>2458</v>
      </c>
      <c r="CE12">
        <v>585.70000000000005</v>
      </c>
      <c r="CF12">
        <v>29.5</v>
      </c>
      <c r="CG12">
        <v>243.35</v>
      </c>
      <c r="CH12">
        <v>169.35</v>
      </c>
      <c r="CI12">
        <v>61.9</v>
      </c>
      <c r="CJ12">
        <v>3.9000000000000004</v>
      </c>
      <c r="CK12">
        <v>0.7938891849555092</v>
      </c>
      <c r="CL12">
        <v>0.18917042132971595</v>
      </c>
      <c r="CM12">
        <v>9.527962146536827E-3</v>
      </c>
      <c r="CN12">
        <v>0.69591123895623586</v>
      </c>
      <c r="CO12">
        <v>0.25436613930552704</v>
      </c>
      <c r="CP12">
        <v>1.6026299568522705E-2</v>
      </c>
    </row>
    <row r="13" spans="1:94" x14ac:dyDescent="0.15">
      <c r="A13" t="s">
        <v>441</v>
      </c>
      <c r="B13" t="s">
        <v>429</v>
      </c>
      <c r="C13" t="s">
        <v>442</v>
      </c>
      <c r="D13">
        <v>738</v>
      </c>
      <c r="E13">
        <v>496</v>
      </c>
      <c r="F13">
        <v>164</v>
      </c>
      <c r="G13">
        <v>148</v>
      </c>
      <c r="H13">
        <v>0.67208672086720866</v>
      </c>
      <c r="I13">
        <v>0.22222222222222221</v>
      </c>
      <c r="J13">
        <v>0.20054200542005421</v>
      </c>
      <c r="K13">
        <v>1713</v>
      </c>
      <c r="L13">
        <v>348</v>
      </c>
      <c r="M13">
        <v>334</v>
      </c>
      <c r="N13">
        <v>1023</v>
      </c>
      <c r="O13">
        <v>0.20315236427320491</v>
      </c>
      <c r="P13">
        <v>0.19497956800934033</v>
      </c>
      <c r="Q13">
        <v>0.59719789842381787</v>
      </c>
      <c r="R13">
        <v>1713</v>
      </c>
      <c r="S13">
        <v>112</v>
      </c>
      <c r="T13">
        <v>17</v>
      </c>
      <c r="U13">
        <v>48</v>
      </c>
      <c r="V13">
        <v>4</v>
      </c>
      <c r="W13">
        <v>181</v>
      </c>
      <c r="X13">
        <v>803</v>
      </c>
      <c r="Y13">
        <v>51</v>
      </c>
      <c r="Z13">
        <v>8</v>
      </c>
      <c r="AA13">
        <v>23</v>
      </c>
      <c r="AB13">
        <v>1</v>
      </c>
      <c r="AC13">
        <v>83</v>
      </c>
      <c r="AD13">
        <v>910</v>
      </c>
      <c r="AE13">
        <v>61</v>
      </c>
      <c r="AF13">
        <v>9</v>
      </c>
      <c r="AG13">
        <v>25</v>
      </c>
      <c r="AH13">
        <v>3</v>
      </c>
      <c r="AI13">
        <v>98</v>
      </c>
      <c r="AJ13">
        <v>0.10566258026853473</v>
      </c>
      <c r="AK13">
        <v>9.3922651933701654E-2</v>
      </c>
      <c r="AL13">
        <v>0.26519337016574585</v>
      </c>
      <c r="AM13">
        <v>2.2099447513812154E-2</v>
      </c>
      <c r="AN13">
        <v>0.4585635359116022</v>
      </c>
      <c r="AO13">
        <v>0.54143646408839774</v>
      </c>
      <c r="AP13">
        <v>911</v>
      </c>
      <c r="AQ13">
        <v>333</v>
      </c>
      <c r="AR13">
        <v>0</v>
      </c>
      <c r="AS13">
        <v>0</v>
      </c>
      <c r="AT13">
        <v>54</v>
      </c>
      <c r="AU13">
        <v>88</v>
      </c>
      <c r="AV13">
        <v>1</v>
      </c>
      <c r="AW13">
        <v>5</v>
      </c>
      <c r="AX13">
        <v>22</v>
      </c>
      <c r="AY13">
        <v>74</v>
      </c>
      <c r="AZ13">
        <v>10</v>
      </c>
      <c r="BA13">
        <v>5</v>
      </c>
      <c r="BB13">
        <v>9</v>
      </c>
      <c r="BC13">
        <v>24</v>
      </c>
      <c r="BD13">
        <v>18</v>
      </c>
      <c r="BE13">
        <v>13</v>
      </c>
      <c r="BF13">
        <v>137</v>
      </c>
      <c r="BG13">
        <v>32</v>
      </c>
      <c r="BH13">
        <v>51</v>
      </c>
      <c r="BI13">
        <v>24</v>
      </c>
      <c r="BJ13">
        <v>0.36553238199780463</v>
      </c>
      <c r="BK13">
        <v>0</v>
      </c>
      <c r="BL13">
        <v>0</v>
      </c>
      <c r="BM13">
        <v>5.9275521405049394E-2</v>
      </c>
      <c r="BN13">
        <v>9.6597145993413833E-2</v>
      </c>
      <c r="BO13">
        <v>1.0976948408342481E-3</v>
      </c>
      <c r="BP13">
        <v>5.4884742041712408E-3</v>
      </c>
      <c r="BQ13">
        <v>2.4149286498353458E-2</v>
      </c>
      <c r="BR13">
        <v>8.1229418221734365E-2</v>
      </c>
      <c r="BS13">
        <v>1.0976948408342482E-2</v>
      </c>
      <c r="BT13">
        <v>5.4884742041712408E-3</v>
      </c>
      <c r="BU13">
        <v>9.8792535675082324E-3</v>
      </c>
      <c r="BV13">
        <v>2.6344676180021953E-2</v>
      </c>
      <c r="BW13">
        <v>1.9758507135016465E-2</v>
      </c>
      <c r="BX13">
        <v>1.4270032930845226E-2</v>
      </c>
      <c r="BY13">
        <v>0.150384193194292</v>
      </c>
      <c r="BZ13">
        <v>3.512623490669594E-2</v>
      </c>
      <c r="CA13">
        <v>5.598243688254665E-2</v>
      </c>
      <c r="CB13">
        <v>2.6344676180021953E-2</v>
      </c>
      <c r="CC13">
        <v>911</v>
      </c>
      <c r="CD13">
        <v>808</v>
      </c>
      <c r="CE13">
        <v>95</v>
      </c>
      <c r="CF13">
        <v>2</v>
      </c>
      <c r="CG13">
        <v>47</v>
      </c>
      <c r="CH13">
        <v>31</v>
      </c>
      <c r="CI13">
        <v>14</v>
      </c>
      <c r="CJ13">
        <v>1</v>
      </c>
      <c r="CK13">
        <v>0.88693743139407244</v>
      </c>
      <c r="CL13">
        <v>0.10428100987925357</v>
      </c>
      <c r="CM13">
        <v>2.1953896816684962E-3</v>
      </c>
      <c r="CN13">
        <v>0.65957446808510634</v>
      </c>
      <c r="CO13">
        <v>0.2978723404255319</v>
      </c>
      <c r="CP13">
        <v>2.1276595744680851E-2</v>
      </c>
    </row>
    <row r="14" spans="1:94" x14ac:dyDescent="0.15">
      <c r="A14" t="s">
        <v>443</v>
      </c>
      <c r="B14" t="s">
        <v>429</v>
      </c>
      <c r="C14" t="s">
        <v>447</v>
      </c>
      <c r="D14">
        <v>397.5</v>
      </c>
      <c r="E14">
        <v>249.29999999999998</v>
      </c>
      <c r="F14">
        <v>84</v>
      </c>
      <c r="G14">
        <v>79.5</v>
      </c>
      <c r="H14">
        <v>0.62716981132075467</v>
      </c>
      <c r="I14">
        <v>0.21132075471698114</v>
      </c>
      <c r="J14">
        <v>0.2</v>
      </c>
      <c r="K14">
        <v>953.69999999999993</v>
      </c>
      <c r="L14">
        <v>168.6</v>
      </c>
      <c r="M14">
        <v>227.39999999999998</v>
      </c>
      <c r="N14">
        <v>551.4</v>
      </c>
      <c r="O14">
        <v>0.17678515256369928</v>
      </c>
      <c r="P14">
        <v>0.23843976093111041</v>
      </c>
      <c r="Q14">
        <v>0.57816923560868194</v>
      </c>
      <c r="R14">
        <v>953.69999999999993</v>
      </c>
      <c r="S14">
        <v>88.2</v>
      </c>
      <c r="T14">
        <v>26.4</v>
      </c>
      <c r="U14">
        <v>17.7</v>
      </c>
      <c r="V14">
        <v>7.8</v>
      </c>
      <c r="W14">
        <v>140.1</v>
      </c>
      <c r="X14">
        <v>443.4</v>
      </c>
      <c r="Y14">
        <v>35.699999999999996</v>
      </c>
      <c r="Z14">
        <v>12</v>
      </c>
      <c r="AA14">
        <v>9.2999999999999989</v>
      </c>
      <c r="AB14">
        <v>0.3</v>
      </c>
      <c r="AC14">
        <v>57.29999999999999</v>
      </c>
      <c r="AD14">
        <v>510.29999999999995</v>
      </c>
      <c r="AE14">
        <v>52.5</v>
      </c>
      <c r="AF14">
        <v>14.399999999999999</v>
      </c>
      <c r="AG14">
        <v>8.4</v>
      </c>
      <c r="AH14">
        <v>7.5</v>
      </c>
      <c r="AI14">
        <v>82.800000000000011</v>
      </c>
      <c r="AJ14">
        <v>0.14690154136520919</v>
      </c>
      <c r="AK14">
        <v>0.18843683083511778</v>
      </c>
      <c r="AL14">
        <v>0.12633832976445397</v>
      </c>
      <c r="AM14">
        <v>5.5674518201284801E-2</v>
      </c>
      <c r="AN14">
        <v>0.40899357601713054</v>
      </c>
      <c r="AO14">
        <v>0.59100642398286951</v>
      </c>
      <c r="AP14">
        <v>479.09999999999997</v>
      </c>
      <c r="AQ14">
        <v>145.79999999999998</v>
      </c>
      <c r="AR14">
        <v>0</v>
      </c>
      <c r="AS14">
        <v>0</v>
      </c>
      <c r="AT14">
        <v>44.4</v>
      </c>
      <c r="AU14">
        <v>55.199999999999996</v>
      </c>
      <c r="AV14">
        <v>0.6</v>
      </c>
      <c r="AW14">
        <v>0</v>
      </c>
      <c r="AX14">
        <v>14.399999999999999</v>
      </c>
      <c r="AY14">
        <v>43.8</v>
      </c>
      <c r="AZ14">
        <v>4.2</v>
      </c>
      <c r="BA14">
        <v>4.5</v>
      </c>
      <c r="BB14">
        <v>6</v>
      </c>
      <c r="BC14">
        <v>12.9</v>
      </c>
      <c r="BD14">
        <v>10.799999999999999</v>
      </c>
      <c r="BE14">
        <v>9.6</v>
      </c>
      <c r="BF14">
        <v>78.899999999999991</v>
      </c>
      <c r="BG14">
        <v>8.4</v>
      </c>
      <c r="BH14">
        <v>17.399999999999999</v>
      </c>
      <c r="BI14">
        <v>13.5</v>
      </c>
      <c r="BJ14">
        <v>0.30432060112711334</v>
      </c>
      <c r="BK14">
        <v>0</v>
      </c>
      <c r="BL14">
        <v>0</v>
      </c>
      <c r="BM14">
        <v>9.2673763306199128E-2</v>
      </c>
      <c r="BN14">
        <v>0.11521603005635567</v>
      </c>
      <c r="BO14">
        <v>1.2523481527864746E-3</v>
      </c>
      <c r="BP14">
        <v>0</v>
      </c>
      <c r="BQ14">
        <v>3.0056355666875392E-2</v>
      </c>
      <c r="BR14">
        <v>9.142141515341265E-2</v>
      </c>
      <c r="BS14">
        <v>8.7664370695053236E-3</v>
      </c>
      <c r="BT14">
        <v>9.392611145898561E-3</v>
      </c>
      <c r="BU14">
        <v>1.2523481527864748E-2</v>
      </c>
      <c r="BV14">
        <v>2.6925485284909206E-2</v>
      </c>
      <c r="BW14">
        <v>2.2542266750156543E-2</v>
      </c>
      <c r="BX14">
        <v>2.0037570444583593E-2</v>
      </c>
      <c r="BY14">
        <v>0.1646837820914214</v>
      </c>
      <c r="BZ14">
        <v>1.7532874139010647E-2</v>
      </c>
      <c r="CA14">
        <v>3.6318096430807766E-2</v>
      </c>
      <c r="CB14">
        <v>2.8177833437695681E-2</v>
      </c>
      <c r="CC14">
        <v>479.09999999999997</v>
      </c>
      <c r="CD14">
        <v>391.79999999999995</v>
      </c>
      <c r="CE14">
        <v>78.3</v>
      </c>
      <c r="CF14">
        <v>2.4</v>
      </c>
      <c r="CG14">
        <v>33</v>
      </c>
      <c r="CH14">
        <v>23.4</v>
      </c>
      <c r="CI14">
        <v>9</v>
      </c>
      <c r="CJ14">
        <v>0.6</v>
      </c>
      <c r="CK14">
        <v>0.81778334376956785</v>
      </c>
      <c r="CL14">
        <v>0.16343143393863493</v>
      </c>
      <c r="CM14">
        <v>5.0093926111458983E-3</v>
      </c>
      <c r="CN14">
        <v>0.70909090909090899</v>
      </c>
      <c r="CO14">
        <v>0.27272727272727271</v>
      </c>
      <c r="CP14">
        <v>1.8181818181818181E-2</v>
      </c>
    </row>
    <row r="15" spans="1:94" x14ac:dyDescent="0.15">
      <c r="A15" t="s">
        <v>444</v>
      </c>
      <c r="B15" t="s">
        <v>429</v>
      </c>
      <c r="C15" t="s">
        <v>448</v>
      </c>
      <c r="D15">
        <v>5322.75</v>
      </c>
      <c r="E15">
        <v>2610.8000000000002</v>
      </c>
      <c r="F15">
        <v>942.15</v>
      </c>
      <c r="G15">
        <v>977.89999999999986</v>
      </c>
      <c r="H15">
        <v>0.49049833262881032</v>
      </c>
      <c r="I15">
        <v>0.17700436804283501</v>
      </c>
      <c r="J15">
        <v>0.18372082100418013</v>
      </c>
      <c r="K15">
        <v>12081.25</v>
      </c>
      <c r="L15">
        <v>1318.9</v>
      </c>
      <c r="M15">
        <v>4494.05</v>
      </c>
      <c r="N15">
        <v>6173.2</v>
      </c>
      <c r="O15">
        <v>0.10916916709777548</v>
      </c>
      <c r="P15">
        <v>0.37198551474392139</v>
      </c>
      <c r="Q15">
        <v>0.5109736161407139</v>
      </c>
      <c r="R15">
        <v>12081.25</v>
      </c>
      <c r="S15">
        <v>1653.8000000000002</v>
      </c>
      <c r="T15">
        <v>601.9</v>
      </c>
      <c r="U15">
        <v>511.5</v>
      </c>
      <c r="V15">
        <v>62.099999999999994</v>
      </c>
      <c r="W15">
        <v>2829.3</v>
      </c>
      <c r="X15">
        <v>5602.7000000000007</v>
      </c>
      <c r="Y15">
        <v>723.55</v>
      </c>
      <c r="Z15">
        <v>296.89999999999998</v>
      </c>
      <c r="AA15">
        <v>286.35000000000002</v>
      </c>
      <c r="AB15">
        <v>11.849999999999998</v>
      </c>
      <c r="AC15">
        <v>1318.6499999999999</v>
      </c>
      <c r="AD15">
        <v>6478.5499999999993</v>
      </c>
      <c r="AE15">
        <v>930.25</v>
      </c>
      <c r="AF15">
        <v>305</v>
      </c>
      <c r="AG15">
        <v>225.14999999999998</v>
      </c>
      <c r="AH15">
        <v>50.25</v>
      </c>
      <c r="AI15">
        <v>1510.65</v>
      </c>
      <c r="AJ15">
        <v>0.23418934299017075</v>
      </c>
      <c r="AK15">
        <v>0.21273813310712894</v>
      </c>
      <c r="AL15">
        <v>0.18078676704485208</v>
      </c>
      <c r="AM15">
        <v>2.1948891952072946E-2</v>
      </c>
      <c r="AN15">
        <v>0.46606934577457315</v>
      </c>
      <c r="AO15">
        <v>0.53393065422542674</v>
      </c>
      <c r="AP15">
        <v>5620.35</v>
      </c>
      <c r="AQ15">
        <v>611.94999999999993</v>
      </c>
      <c r="AR15">
        <v>1.0499999999999998</v>
      </c>
      <c r="AS15">
        <v>0</v>
      </c>
      <c r="AT15">
        <v>444.09999999999997</v>
      </c>
      <c r="AU15">
        <v>686.44999999999993</v>
      </c>
      <c r="AV15">
        <v>8.25</v>
      </c>
      <c r="AW15">
        <v>12.649999999999999</v>
      </c>
      <c r="AX15">
        <v>159</v>
      </c>
      <c r="AY15">
        <v>827.05000000000007</v>
      </c>
      <c r="AZ15">
        <v>92.149999999999991</v>
      </c>
      <c r="BA15">
        <v>44.599999999999994</v>
      </c>
      <c r="BB15">
        <v>107.94999999999999</v>
      </c>
      <c r="BC15">
        <v>284.14999999999998</v>
      </c>
      <c r="BD15">
        <v>207.35000000000002</v>
      </c>
      <c r="BE15">
        <v>264.45</v>
      </c>
      <c r="BF15">
        <v>1132.05</v>
      </c>
      <c r="BG15">
        <v>96.85</v>
      </c>
      <c r="BH15">
        <v>291.75</v>
      </c>
      <c r="BI15">
        <v>286.60000000000002</v>
      </c>
      <c r="BJ15">
        <v>0.10888111950323376</v>
      </c>
      <c r="BK15">
        <v>1.8682110544716962E-4</v>
      </c>
      <c r="BL15">
        <v>0</v>
      </c>
      <c r="BM15">
        <v>7.9016431361036227E-2</v>
      </c>
      <c r="BN15">
        <v>0.12213652174686628</v>
      </c>
      <c r="BO15">
        <v>1.4678801142277615E-3</v>
      </c>
      <c r="BP15">
        <v>2.2507495084825675E-3</v>
      </c>
      <c r="BQ15">
        <v>2.8290053110571405E-2</v>
      </c>
      <c r="BR15">
        <v>0.14715275739055397</v>
      </c>
      <c r="BS15">
        <v>1.6395776063768269E-2</v>
      </c>
      <c r="BT15">
        <v>7.9354488599464434E-3</v>
      </c>
      <c r="BU15">
        <v>1.9206988888592343E-2</v>
      </c>
      <c r="BV15">
        <v>5.0557349631250713E-2</v>
      </c>
      <c r="BW15">
        <v>3.6892720204257747E-2</v>
      </c>
      <c r="BX15">
        <v>4.7052229843337151E-2</v>
      </c>
      <c r="BY15">
        <v>0.20141984040139846</v>
      </c>
      <c r="BZ15">
        <v>1.7232022916722267E-2</v>
      </c>
      <c r="CA15">
        <v>5.1909578584963569E-2</v>
      </c>
      <c r="CB15">
        <v>5.0993265543960789E-2</v>
      </c>
      <c r="CC15">
        <v>5620.35</v>
      </c>
      <c r="CD15">
        <v>4553.25</v>
      </c>
      <c r="CE15">
        <v>960.5</v>
      </c>
      <c r="CF15">
        <v>57.349999999999994</v>
      </c>
      <c r="CG15">
        <v>567.5</v>
      </c>
      <c r="CH15">
        <v>445.29999999999995</v>
      </c>
      <c r="CI15">
        <v>103.64999999999999</v>
      </c>
      <c r="CJ15">
        <v>10.6</v>
      </c>
      <c r="CK15">
        <v>0.81013637940697636</v>
      </c>
      <c r="CL15">
        <v>0.17089683026857758</v>
      </c>
      <c r="CM15">
        <v>1.0203990854662075E-2</v>
      </c>
      <c r="CN15">
        <v>0.78466960352422899</v>
      </c>
      <c r="CO15">
        <v>0.18264317180616738</v>
      </c>
      <c r="CP15">
        <v>1.8678414096916299E-2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1" customWidth="1"/>
    <col min="2" max="2" width="9" style="21"/>
    <col min="3" max="3" width="13.625" style="21" customWidth="1"/>
    <col min="4" max="4" width="10.75" style="21" customWidth="1"/>
    <col min="5" max="5" width="12" style="21" customWidth="1"/>
    <col min="6" max="6" width="13.625" style="21" customWidth="1"/>
    <col min="7" max="11" width="9" style="21"/>
    <col min="12" max="12" width="9.375" style="21" bestFit="1" customWidth="1"/>
    <col min="13" max="16384" width="9" style="21"/>
  </cols>
  <sheetData>
    <row r="1" spans="1:10" ht="22.5" customHeight="1" x14ac:dyDescent="0.15">
      <c r="A1" s="21" t="s">
        <v>224</v>
      </c>
    </row>
    <row r="2" spans="1:10" ht="22.5" customHeight="1" x14ac:dyDescent="0.15">
      <c r="B2" s="275" t="str">
        <f>管理者入力シート!B4</f>
        <v>永久津中学校区</v>
      </c>
      <c r="C2" s="275"/>
      <c r="D2" s="275"/>
      <c r="E2" s="274" t="s">
        <v>225</v>
      </c>
      <c r="F2" s="274"/>
      <c r="G2" s="274"/>
      <c r="H2" s="274"/>
      <c r="I2" s="274"/>
      <c r="J2" s="95"/>
    </row>
    <row r="3" spans="1:10" ht="22.5" customHeight="1" x14ac:dyDescent="0.15">
      <c r="B3" s="275"/>
      <c r="C3" s="275"/>
      <c r="D3" s="275"/>
      <c r="E3" s="274"/>
      <c r="F3" s="274"/>
      <c r="G3" s="274"/>
      <c r="H3" s="274"/>
      <c r="I3" s="274"/>
      <c r="J3" s="95"/>
    </row>
    <row r="4" spans="1:10" ht="22.5" customHeight="1" x14ac:dyDescent="0.15">
      <c r="B4" s="115"/>
      <c r="C4" s="115"/>
      <c r="D4" s="115"/>
      <c r="E4" s="37"/>
      <c r="F4" s="37"/>
      <c r="G4" s="37"/>
      <c r="H4" s="37"/>
      <c r="I4" s="37"/>
      <c r="J4" s="37"/>
    </row>
    <row r="5" spans="1:10" s="44" customFormat="1" ht="40.5" customHeight="1" x14ac:dyDescent="0.15">
      <c r="A5" s="116" t="s">
        <v>64</v>
      </c>
    </row>
    <row r="6" spans="1:10" ht="22.5" customHeight="1" x14ac:dyDescent="0.15">
      <c r="A6" s="272">
        <f>管理者入力シート!B5</f>
        <v>2020</v>
      </c>
      <c r="B6" s="272"/>
      <c r="C6" s="21" t="s">
        <v>248</v>
      </c>
      <c r="E6" s="280">
        <f>管理者用グラフシート!E6</f>
        <v>956</v>
      </c>
      <c r="F6" s="280"/>
      <c r="G6" s="21" t="s">
        <v>54</v>
      </c>
    </row>
    <row r="7" spans="1:10" ht="22.5" customHeight="1" x14ac:dyDescent="0.15">
      <c r="A7" s="272">
        <f>管理者用グラフシート!B4</f>
        <v>2010</v>
      </c>
      <c r="B7" s="272"/>
      <c r="C7" s="88" t="s">
        <v>226</v>
      </c>
      <c r="D7" s="271">
        <f>E6-管理者用グラフシート!E4</f>
        <v>-159</v>
      </c>
      <c r="E7" s="271"/>
      <c r="F7" s="36" t="s">
        <v>356</v>
      </c>
      <c r="G7" s="36"/>
      <c r="H7" s="36"/>
    </row>
    <row r="8" spans="1:10" ht="22.5" customHeight="1" x14ac:dyDescent="0.15">
      <c r="A8" s="281" t="s">
        <v>380</v>
      </c>
      <c r="B8" s="281"/>
      <c r="C8" s="223">
        <f>管理者用グラフシート!C6-管理者用グラフシート!C4</f>
        <v>-85</v>
      </c>
      <c r="D8" s="228" t="s">
        <v>381</v>
      </c>
      <c r="F8" s="263">
        <f>管理者用グラフシート!D6-管理者用グラフシート!D4</f>
        <v>-74</v>
      </c>
      <c r="G8" s="228" t="s">
        <v>382</v>
      </c>
    </row>
    <row r="22" spans="1:9" ht="22.5" customHeight="1" x14ac:dyDescent="0.15">
      <c r="G22" s="21">
        <v>15</v>
      </c>
    </row>
    <row r="26" spans="1:9" ht="22.5" customHeight="1" thickBot="1" x14ac:dyDescent="0.2"/>
    <row r="27" spans="1:9" ht="22.5" customHeight="1" x14ac:dyDescent="0.15">
      <c r="A27" s="104" t="s">
        <v>227</v>
      </c>
      <c r="B27" s="97"/>
      <c r="C27" s="97"/>
      <c r="D27" s="97"/>
      <c r="E27" s="97"/>
      <c r="F27" s="97"/>
      <c r="G27" s="97"/>
      <c r="H27" s="97"/>
      <c r="I27" s="98"/>
    </row>
    <row r="28" spans="1:9" ht="22.5" customHeight="1" x14ac:dyDescent="0.15">
      <c r="A28" s="99"/>
      <c r="B28" s="36"/>
      <c r="C28" s="36"/>
      <c r="D28" s="36"/>
      <c r="E28" s="36"/>
      <c r="F28" s="36"/>
      <c r="G28" s="36"/>
      <c r="H28" s="36"/>
      <c r="I28" s="100"/>
    </row>
    <row r="29" spans="1:9" ht="22.5" customHeight="1" x14ac:dyDescent="0.15">
      <c r="A29" s="99"/>
      <c r="B29" s="36"/>
      <c r="C29" s="36"/>
      <c r="D29" s="36"/>
      <c r="E29" s="36"/>
      <c r="F29" s="36"/>
      <c r="G29" s="36"/>
      <c r="H29" s="36"/>
      <c r="I29" s="100"/>
    </row>
    <row r="30" spans="1:9" ht="22.5" customHeight="1" x14ac:dyDescent="0.15">
      <c r="A30" s="99"/>
      <c r="B30" s="36"/>
      <c r="C30" s="36"/>
      <c r="D30" s="36"/>
      <c r="E30" s="36"/>
      <c r="F30" s="36"/>
      <c r="G30" s="36"/>
      <c r="H30" s="36"/>
      <c r="I30" s="100"/>
    </row>
    <row r="31" spans="1:9" ht="22.5" customHeight="1" x14ac:dyDescent="0.15">
      <c r="A31" s="99"/>
      <c r="B31" s="36"/>
      <c r="C31" s="36"/>
      <c r="D31" s="36"/>
      <c r="E31" s="36"/>
      <c r="F31" s="36"/>
      <c r="G31" s="36"/>
      <c r="H31" s="36"/>
      <c r="I31" s="100"/>
    </row>
    <row r="32" spans="1:9" ht="22.5" customHeight="1" x14ac:dyDescent="0.15">
      <c r="A32" s="99"/>
      <c r="B32" s="36"/>
      <c r="C32" s="36"/>
      <c r="D32" s="36"/>
      <c r="E32" s="36"/>
      <c r="F32" s="36"/>
      <c r="G32" s="36"/>
      <c r="H32" s="36"/>
      <c r="I32" s="100"/>
    </row>
    <row r="33" spans="1:9" ht="22.5" customHeight="1" x14ac:dyDescent="0.15">
      <c r="A33" s="99"/>
      <c r="B33" s="36"/>
      <c r="C33" s="36"/>
      <c r="D33" s="36"/>
      <c r="E33" s="36"/>
      <c r="F33" s="36"/>
      <c r="G33" s="36"/>
      <c r="H33" s="36"/>
      <c r="I33" s="100"/>
    </row>
    <row r="34" spans="1:9" ht="22.5" customHeight="1" thickBot="1" x14ac:dyDescent="0.2">
      <c r="A34" s="101"/>
      <c r="B34" s="102"/>
      <c r="C34" s="102"/>
      <c r="D34" s="102"/>
      <c r="E34" s="102"/>
      <c r="F34" s="102"/>
      <c r="G34" s="102"/>
      <c r="H34" s="102"/>
      <c r="I34" s="103"/>
    </row>
    <row r="35" spans="1:9" s="44" customFormat="1" ht="40.5" customHeight="1" x14ac:dyDescent="0.15">
      <c r="A35" s="116" t="s">
        <v>68</v>
      </c>
    </row>
    <row r="36" spans="1:9" ht="22.5" customHeight="1" x14ac:dyDescent="0.15">
      <c r="A36" s="39" t="s">
        <v>65</v>
      </c>
      <c r="B36" s="39"/>
      <c r="C36" s="36"/>
      <c r="D36" s="36"/>
      <c r="E36" s="40"/>
      <c r="F36" s="277">
        <f>管理者用グラフシート!C12</f>
        <v>45</v>
      </c>
      <c r="G36" s="277"/>
      <c r="H36" s="36" t="s">
        <v>54</v>
      </c>
      <c r="I36" s="36"/>
    </row>
    <row r="37" spans="1:9" ht="22.5" customHeight="1" x14ac:dyDescent="0.15">
      <c r="A37" s="36" t="s">
        <v>66</v>
      </c>
      <c r="B37" s="36"/>
      <c r="C37" s="36"/>
      <c r="D37" s="36"/>
      <c r="E37" s="36"/>
      <c r="F37" s="277">
        <f>管理者用グラフシート!C16</f>
        <v>23</v>
      </c>
      <c r="G37" s="277"/>
      <c r="H37" s="36" t="s">
        <v>54</v>
      </c>
      <c r="I37" s="36"/>
    </row>
    <row r="38" spans="1:9" ht="22.5" customHeight="1" x14ac:dyDescent="0.15">
      <c r="A38" s="36"/>
      <c r="B38" s="36"/>
      <c r="C38" s="36"/>
      <c r="D38" s="279"/>
      <c r="E38" s="279"/>
      <c r="F38" s="38"/>
      <c r="G38" s="35"/>
      <c r="H38" s="36"/>
      <c r="I38" s="36"/>
    </row>
    <row r="39" spans="1:9" ht="22.5" customHeight="1" x14ac:dyDescent="0.15">
      <c r="A39" s="273">
        <f>管理者用グラフシート!B4</f>
        <v>2010</v>
      </c>
      <c r="B39" s="273"/>
      <c r="C39" s="39" t="s">
        <v>228</v>
      </c>
      <c r="D39" s="39"/>
      <c r="E39" s="40"/>
      <c r="F39" s="37"/>
      <c r="G39" s="36"/>
      <c r="H39" s="36"/>
    </row>
    <row r="40" spans="1:9" ht="22.5" customHeight="1" x14ac:dyDescent="0.15">
      <c r="B40" s="21" t="s">
        <v>67</v>
      </c>
      <c r="D40" s="271">
        <f>F36-管理者用グラフシート!C10</f>
        <v>-16</v>
      </c>
      <c r="E40" s="271"/>
      <c r="F40" s="21" t="s">
        <v>60</v>
      </c>
    </row>
    <row r="41" spans="1:9" ht="22.5" customHeight="1" x14ac:dyDescent="0.15">
      <c r="B41" s="21" t="s">
        <v>69</v>
      </c>
      <c r="D41" s="271">
        <f>F37-管理者用グラフシート!C14</f>
        <v>-7</v>
      </c>
      <c r="E41" s="271"/>
      <c r="F41" s="21" t="s">
        <v>70</v>
      </c>
    </row>
    <row r="53" spans="1:13" ht="22.5" customHeight="1" x14ac:dyDescent="0.15">
      <c r="M53" s="78"/>
    </row>
    <row r="62" spans="1:13" ht="22.5" customHeight="1" thickBot="1" x14ac:dyDescent="0.2"/>
    <row r="63" spans="1:13" ht="22.5" customHeight="1" x14ac:dyDescent="0.15">
      <c r="A63" s="266" t="s">
        <v>426</v>
      </c>
      <c r="B63" s="97"/>
      <c r="C63" s="97"/>
      <c r="D63" s="97"/>
      <c r="E63" s="97"/>
      <c r="F63" s="97"/>
      <c r="G63" s="97"/>
      <c r="H63" s="97"/>
      <c r="I63" s="98"/>
    </row>
    <row r="64" spans="1:13" ht="22.5" customHeight="1" x14ac:dyDescent="0.15">
      <c r="A64" s="109"/>
      <c r="B64" s="36"/>
      <c r="C64" s="36"/>
      <c r="D64" s="36"/>
      <c r="E64" s="36"/>
      <c r="F64" s="36"/>
      <c r="G64" s="36"/>
      <c r="H64" s="36"/>
      <c r="I64" s="100"/>
    </row>
    <row r="65" spans="1:9" ht="22.5" customHeight="1" x14ac:dyDescent="0.15">
      <c r="A65" s="109"/>
      <c r="B65" s="36"/>
      <c r="C65" s="36"/>
      <c r="D65" s="36"/>
      <c r="E65" s="36"/>
      <c r="F65" s="36"/>
      <c r="G65" s="36"/>
      <c r="H65" s="36"/>
      <c r="I65" s="100"/>
    </row>
    <row r="66" spans="1:9" ht="22.5" customHeight="1" x14ac:dyDescent="0.15">
      <c r="A66" s="99"/>
      <c r="B66" s="36"/>
      <c r="C66" s="36"/>
      <c r="D66" s="36"/>
      <c r="E66" s="36"/>
      <c r="F66" s="36"/>
      <c r="G66" s="36"/>
      <c r="H66" s="36"/>
      <c r="I66" s="100"/>
    </row>
    <row r="67" spans="1:9" ht="22.5" customHeight="1" x14ac:dyDescent="0.15">
      <c r="A67" s="99"/>
      <c r="B67" s="36"/>
      <c r="C67" s="36"/>
      <c r="D67" s="36"/>
      <c r="E67" s="36"/>
      <c r="F67" s="36"/>
      <c r="G67" s="36"/>
      <c r="H67" s="36"/>
      <c r="I67" s="100"/>
    </row>
    <row r="68" spans="1:9" ht="22.5" customHeight="1" thickBot="1" x14ac:dyDescent="0.2">
      <c r="A68" s="101"/>
      <c r="B68" s="102"/>
      <c r="C68" s="102"/>
      <c r="D68" s="102"/>
      <c r="E68" s="102"/>
      <c r="F68" s="102"/>
      <c r="G68" s="102"/>
      <c r="H68" s="102"/>
      <c r="I68" s="103"/>
    </row>
    <row r="69" spans="1:9" s="44" customFormat="1" ht="40.5" customHeight="1" x14ac:dyDescent="0.15">
      <c r="A69" s="116" t="s">
        <v>74</v>
      </c>
    </row>
    <row r="70" spans="1:9" ht="22.5" customHeight="1" x14ac:dyDescent="0.15">
      <c r="A70" s="39" t="s">
        <v>75</v>
      </c>
      <c r="B70" s="39"/>
      <c r="C70" s="277">
        <f>管理者用グラフシート!C22</f>
        <v>407</v>
      </c>
      <c r="D70" s="277"/>
      <c r="E70" s="39" t="s">
        <v>76</v>
      </c>
      <c r="F70" s="42"/>
      <c r="G70" s="276">
        <f>管理者用グラフシート!C32</f>
        <v>0.43</v>
      </c>
      <c r="H70" s="276"/>
      <c r="I70" s="36" t="s">
        <v>77</v>
      </c>
    </row>
    <row r="71" spans="1:9" ht="22.5" customHeight="1" x14ac:dyDescent="0.15">
      <c r="A71" s="39" t="s">
        <v>78</v>
      </c>
      <c r="B71" s="39"/>
      <c r="C71" s="277">
        <f>管理者用グラフシート!C26</f>
        <v>231</v>
      </c>
      <c r="D71" s="277"/>
      <c r="E71" s="39" t="s">
        <v>76</v>
      </c>
      <c r="F71" s="42"/>
      <c r="G71" s="276">
        <f>管理者用グラフシート!C36</f>
        <v>0.24</v>
      </c>
      <c r="H71" s="276"/>
      <c r="I71" s="36" t="s">
        <v>77</v>
      </c>
    </row>
    <row r="72" spans="1:9" ht="22.5" customHeight="1" x14ac:dyDescent="0.15">
      <c r="A72" s="36"/>
      <c r="B72" s="36"/>
      <c r="C72" s="36"/>
      <c r="D72" s="279"/>
      <c r="E72" s="279"/>
      <c r="F72" s="38"/>
      <c r="G72" s="35"/>
      <c r="H72" s="36"/>
      <c r="I72" s="36"/>
    </row>
    <row r="73" spans="1:9" ht="22.5" customHeight="1" x14ac:dyDescent="0.15">
      <c r="A73" s="273">
        <f>管理者用グラフシート!B4</f>
        <v>2010</v>
      </c>
      <c r="B73" s="273"/>
      <c r="C73" s="39" t="s">
        <v>228</v>
      </c>
      <c r="D73" s="39"/>
      <c r="E73" s="40"/>
      <c r="F73" s="37"/>
      <c r="G73" s="36"/>
      <c r="H73" s="36"/>
    </row>
    <row r="74" spans="1:9" ht="22.5" customHeight="1" x14ac:dyDescent="0.15">
      <c r="B74" s="21" t="s">
        <v>81</v>
      </c>
      <c r="D74" s="42"/>
      <c r="E74" s="277"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10ポイント上昇</v>
      </c>
      <c r="F74" s="277"/>
      <c r="G74" s="277"/>
      <c r="H74" s="21" t="s">
        <v>82</v>
      </c>
    </row>
    <row r="75" spans="1:9" ht="22.5" customHeight="1" x14ac:dyDescent="0.15">
      <c r="B75" s="21" t="s">
        <v>83</v>
      </c>
      <c r="D75" s="42"/>
      <c r="E75" s="278"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6ポイント上昇</v>
      </c>
      <c r="F75" s="278"/>
      <c r="G75" s="278"/>
      <c r="H75" s="21" t="s">
        <v>77</v>
      </c>
    </row>
    <row r="95" spans="1:9" ht="22.5" customHeight="1" thickBot="1" x14ac:dyDescent="0.2"/>
    <row r="96" spans="1:9" ht="22.5" customHeight="1" x14ac:dyDescent="0.15">
      <c r="A96" s="104" t="s">
        <v>427</v>
      </c>
      <c r="B96" s="97"/>
      <c r="C96" s="97"/>
      <c r="D96" s="97"/>
      <c r="E96" s="97"/>
      <c r="F96" s="97"/>
      <c r="G96" s="97"/>
      <c r="H96" s="97"/>
      <c r="I96" s="98"/>
    </row>
    <row r="97" spans="1:9" ht="22.5" customHeight="1" x14ac:dyDescent="0.15">
      <c r="A97" s="109"/>
      <c r="B97" s="36"/>
      <c r="C97" s="36"/>
      <c r="D97" s="36"/>
      <c r="E97" s="36"/>
      <c r="F97" s="36"/>
      <c r="G97" s="36"/>
      <c r="H97" s="36"/>
      <c r="I97" s="100"/>
    </row>
    <row r="98" spans="1:9" ht="22.5" customHeight="1" x14ac:dyDescent="0.15">
      <c r="A98" s="109"/>
      <c r="B98" s="36"/>
      <c r="C98" s="36"/>
      <c r="D98" s="36"/>
      <c r="E98" s="36"/>
      <c r="F98" s="36"/>
      <c r="G98" s="36"/>
      <c r="H98" s="36"/>
      <c r="I98" s="100"/>
    </row>
    <row r="99" spans="1:9" ht="22.5" customHeight="1" x14ac:dyDescent="0.15">
      <c r="A99" s="99"/>
      <c r="B99" s="36"/>
      <c r="C99" s="36"/>
      <c r="D99" s="36"/>
      <c r="E99" s="36"/>
      <c r="F99" s="36"/>
      <c r="G99" s="36"/>
      <c r="H99" s="36"/>
      <c r="I99" s="100"/>
    </row>
    <row r="100" spans="1:9" ht="22.5" customHeight="1" x14ac:dyDescent="0.15">
      <c r="A100" s="99"/>
      <c r="B100" s="36"/>
      <c r="C100" s="36"/>
      <c r="D100" s="36"/>
      <c r="E100" s="36"/>
      <c r="F100" s="36"/>
      <c r="G100" s="36"/>
      <c r="H100" s="36"/>
      <c r="I100" s="100"/>
    </row>
    <row r="101" spans="1:9" ht="22.5" customHeight="1" thickBot="1" x14ac:dyDescent="0.2">
      <c r="A101" s="101"/>
      <c r="B101" s="102"/>
      <c r="C101" s="102"/>
      <c r="D101" s="102"/>
      <c r="E101" s="102"/>
      <c r="F101" s="102"/>
      <c r="G101" s="102"/>
      <c r="H101" s="102"/>
      <c r="I101" s="103"/>
    </row>
    <row r="103" spans="1:9" s="44" customFormat="1" ht="40.5" customHeight="1" x14ac:dyDescent="0.15">
      <c r="A103" s="116" t="s">
        <v>112</v>
      </c>
    </row>
    <row r="104" spans="1:9" ht="22.5" customHeight="1" x14ac:dyDescent="0.15">
      <c r="A104" s="272">
        <f>管理者用グラフシート!B39</f>
        <v>2010</v>
      </c>
      <c r="B104" s="272"/>
      <c r="C104" s="42" t="s">
        <v>326</v>
      </c>
      <c r="D104" s="41"/>
      <c r="E104" s="39"/>
      <c r="F104" s="42"/>
      <c r="G104" s="119"/>
      <c r="H104" s="119"/>
      <c r="I104" s="36"/>
    </row>
    <row r="105" spans="1:9" ht="22.5" customHeight="1" x14ac:dyDescent="0.15">
      <c r="A105" s="39"/>
      <c r="B105" s="39"/>
      <c r="C105" s="41"/>
      <c r="D105" s="41"/>
      <c r="E105" s="39"/>
      <c r="F105" s="42"/>
      <c r="G105" s="119"/>
      <c r="H105" s="119"/>
      <c r="I105" s="36"/>
    </row>
    <row r="106" spans="1:9" ht="22.5" customHeight="1" x14ac:dyDescent="0.15">
      <c r="A106" s="36"/>
      <c r="B106" s="36"/>
      <c r="C106" s="36"/>
      <c r="D106" s="40"/>
      <c r="E106" s="40"/>
      <c r="F106" s="38"/>
      <c r="G106" s="35"/>
      <c r="H106" s="36"/>
      <c r="I106" s="36"/>
    </row>
    <row r="107" spans="1:9" ht="22.5" customHeight="1" x14ac:dyDescent="0.15">
      <c r="A107" s="95"/>
      <c r="B107" s="95"/>
      <c r="C107" s="114"/>
      <c r="D107" s="39"/>
      <c r="E107" s="40"/>
      <c r="F107" s="37"/>
      <c r="G107" s="36"/>
      <c r="H107" s="36"/>
    </row>
    <row r="108" spans="1:9" ht="22.5" customHeight="1" x14ac:dyDescent="0.15">
      <c r="D108" s="42"/>
      <c r="E108" s="41"/>
      <c r="F108" s="41"/>
      <c r="G108" s="41"/>
    </row>
    <row r="109" spans="1:9" ht="22.5" customHeight="1" x14ac:dyDescent="0.15">
      <c r="D109" s="42"/>
      <c r="E109" s="120"/>
      <c r="F109" s="120"/>
      <c r="G109" s="120"/>
    </row>
    <row r="134" spans="1:9" ht="33.950000000000003" customHeight="1" x14ac:dyDescent="0.15">
      <c r="A134" s="272">
        <f>管理者用グラフシート!B87</f>
        <v>2020</v>
      </c>
      <c r="B134" s="272"/>
      <c r="C134" s="42" t="s">
        <v>326</v>
      </c>
      <c r="D134" s="41"/>
      <c r="E134" s="39"/>
      <c r="F134" s="42"/>
      <c r="G134" s="119"/>
      <c r="H134" s="119"/>
      <c r="I134" s="36"/>
    </row>
    <row r="135" spans="1:9" ht="22.5" customHeight="1" x14ac:dyDescent="0.15">
      <c r="A135" s="272">
        <f>管理者用グラフシート!B4</f>
        <v>2010</v>
      </c>
      <c r="B135" s="272"/>
      <c r="C135" s="39" t="s">
        <v>385</v>
      </c>
      <c r="D135" s="41"/>
      <c r="E135" s="39"/>
      <c r="F135" s="227">
        <f>SUM(管理者用グラフシート!B93:C94)-SUM(管理者用グラフシート!B45:C46)</f>
        <v>-22</v>
      </c>
      <c r="G135" s="229" t="s">
        <v>386</v>
      </c>
      <c r="H135" s="119"/>
      <c r="I135" s="36"/>
    </row>
    <row r="136" spans="1:9" ht="22.5" customHeight="1" x14ac:dyDescent="0.15">
      <c r="A136" s="38" t="s">
        <v>387</v>
      </c>
      <c r="B136" s="36"/>
      <c r="C136" s="227">
        <f>SUM(管理者用グラフシート!B95:C96)-SUM(管理者用グラフシート!B47:C48)</f>
        <v>-28</v>
      </c>
      <c r="D136" s="39" t="s">
        <v>388</v>
      </c>
      <c r="E136" s="40"/>
      <c r="F136" s="227">
        <f>SUM(管理者用グラフシート!B97:C98)-SUM(管理者用グラフシート!B49:C50)</f>
        <v>-23</v>
      </c>
      <c r="G136" s="36" t="s">
        <v>386</v>
      </c>
      <c r="H136" s="36"/>
      <c r="I136" s="36"/>
    </row>
    <row r="137" spans="1:9" ht="18.75" x14ac:dyDescent="0.15">
      <c r="A137" s="95" t="s">
        <v>389</v>
      </c>
      <c r="B137" s="95"/>
      <c r="C137" s="227">
        <f>SUM(管理者用グラフシート!B99:C100)-SUM(管理者用グラフシート!B51:C52)</f>
        <v>-59</v>
      </c>
      <c r="D137" s="39" t="s">
        <v>390</v>
      </c>
      <c r="E137" s="40"/>
      <c r="F137" s="224"/>
      <c r="G137" s="36"/>
      <c r="H137" s="36"/>
    </row>
    <row r="138" spans="1:9" ht="22.5" customHeight="1" x14ac:dyDescent="0.15">
      <c r="D138" s="42"/>
      <c r="E138" s="41"/>
      <c r="F138" s="41"/>
      <c r="G138" s="41"/>
    </row>
    <row r="139" spans="1:9" ht="22.5" customHeight="1" x14ac:dyDescent="0.15">
      <c r="D139" s="42"/>
      <c r="E139" s="120"/>
      <c r="F139" s="120"/>
      <c r="G139" s="120"/>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4"/>
  <sheetViews>
    <sheetView zoomScale="85" zoomScaleNormal="85" workbookViewId="0"/>
  </sheetViews>
  <sheetFormatPr defaultColWidth="9" defaultRowHeight="22.5" customHeight="1" x14ac:dyDescent="0.15"/>
  <cols>
    <col min="1" max="1" width="9" style="21" customWidth="1"/>
    <col min="2" max="2" width="9" style="21"/>
    <col min="3" max="3" width="12.375" style="21" customWidth="1"/>
    <col min="4" max="4" width="9" style="21" customWidth="1"/>
    <col min="5" max="5" width="10" style="21" customWidth="1"/>
    <col min="6" max="8" width="9" style="21"/>
    <col min="9" max="9" width="10.5" style="21" customWidth="1"/>
    <col min="10" max="16384" width="9" style="21"/>
  </cols>
  <sheetData>
    <row r="1" spans="1:9" ht="22.5" customHeight="1" x14ac:dyDescent="0.15">
      <c r="A1" s="21" t="s">
        <v>229</v>
      </c>
    </row>
    <row r="2" spans="1:9" ht="22.5" customHeight="1" x14ac:dyDescent="0.15">
      <c r="A2" s="275" t="str">
        <f>管理者入力シート!B4</f>
        <v>永久津中学校区</v>
      </c>
      <c r="B2" s="275"/>
      <c r="C2" s="275"/>
      <c r="D2" s="274" t="s">
        <v>230</v>
      </c>
      <c r="E2" s="274"/>
      <c r="F2" s="274"/>
      <c r="G2" s="274"/>
      <c r="H2" s="274"/>
      <c r="I2" s="274"/>
    </row>
    <row r="3" spans="1:9" ht="27.75" customHeight="1" x14ac:dyDescent="0.15">
      <c r="A3" s="275"/>
      <c r="B3" s="275"/>
      <c r="C3" s="275"/>
      <c r="D3" s="274"/>
      <c r="E3" s="274"/>
      <c r="F3" s="274"/>
      <c r="G3" s="274"/>
      <c r="H3" s="274"/>
      <c r="I3" s="274"/>
    </row>
    <row r="4" spans="1:9" ht="27.75" customHeight="1" x14ac:dyDescent="0.15"/>
    <row r="5" spans="1:9" s="44" customFormat="1" ht="40.5" customHeight="1" x14ac:dyDescent="0.15">
      <c r="A5" s="116" t="s">
        <v>64</v>
      </c>
    </row>
    <row r="6" spans="1:9" ht="22.5" customHeight="1" x14ac:dyDescent="0.15">
      <c r="A6" s="272">
        <f>管理者入力シート!B9</f>
        <v>2030</v>
      </c>
      <c r="B6" s="272"/>
      <c r="C6" s="39" t="s">
        <v>361</v>
      </c>
      <c r="D6" s="277">
        <f>管理者用グラフシート!K8</f>
        <v>771</v>
      </c>
      <c r="E6" s="277"/>
      <c r="F6" s="39" t="s">
        <v>231</v>
      </c>
      <c r="G6" s="39"/>
      <c r="H6" s="40"/>
      <c r="I6" s="40"/>
    </row>
    <row r="7" spans="1:9" ht="22.5" customHeight="1" x14ac:dyDescent="0.15">
      <c r="A7" s="272">
        <f>管理者入力シート!B5</f>
        <v>2020</v>
      </c>
      <c r="B7" s="272"/>
      <c r="C7" s="214" t="s">
        <v>362</v>
      </c>
      <c r="D7" s="271">
        <f>D6-現況シート!E6</f>
        <v>-185</v>
      </c>
      <c r="E7" s="271"/>
      <c r="F7" s="39" t="s">
        <v>232</v>
      </c>
      <c r="I7" s="40"/>
    </row>
    <row r="8" spans="1:9" ht="22.5" customHeight="1" x14ac:dyDescent="0.15">
      <c r="A8" s="281" t="s">
        <v>397</v>
      </c>
      <c r="B8" s="281"/>
      <c r="C8" s="227">
        <f>管理者用グラフシート!I8-管理者用グラフシート!C6</f>
        <v>-101</v>
      </c>
      <c r="D8" s="228" t="s">
        <v>398</v>
      </c>
      <c r="F8" s="282">
        <f>管理者用グラフシート!J8-管理者用グラフシート!D6</f>
        <v>-84</v>
      </c>
      <c r="G8" s="282"/>
      <c r="H8" s="21" t="s">
        <v>399</v>
      </c>
      <c r="I8" s="39"/>
    </row>
    <row r="9" spans="1:9" ht="22.5" customHeight="1" x14ac:dyDescent="0.15">
      <c r="I9" s="39"/>
    </row>
    <row r="10" spans="1:9" ht="22.5" customHeight="1" x14ac:dyDescent="0.15">
      <c r="A10" s="272">
        <f>管理者入力シート!B11</f>
        <v>2040</v>
      </c>
      <c r="B10" s="272"/>
      <c r="C10" s="39" t="s">
        <v>361</v>
      </c>
      <c r="D10" s="277">
        <f>管理者用グラフシート!K10</f>
        <v>594</v>
      </c>
      <c r="E10" s="277"/>
      <c r="F10" s="39" t="s">
        <v>231</v>
      </c>
      <c r="G10" s="39"/>
      <c r="H10" s="40"/>
    </row>
    <row r="11" spans="1:9" ht="22.5" customHeight="1" x14ac:dyDescent="0.15">
      <c r="A11" s="272">
        <f>管理者入力シート!B5</f>
        <v>2020</v>
      </c>
      <c r="B11" s="272"/>
      <c r="C11" s="214" t="s">
        <v>362</v>
      </c>
      <c r="D11" s="271">
        <f>D10-現況シート!E6</f>
        <v>-362</v>
      </c>
      <c r="E11" s="271"/>
      <c r="F11" s="39" t="s">
        <v>232</v>
      </c>
      <c r="G11" s="39"/>
      <c r="H11" s="40"/>
    </row>
    <row r="12" spans="1:9" ht="22.5" customHeight="1" x14ac:dyDescent="0.15">
      <c r="A12" s="281" t="s">
        <v>397</v>
      </c>
      <c r="B12" s="281"/>
      <c r="C12" s="227">
        <f>管理者用グラフシート!I10-管理者用グラフシート!C6</f>
        <v>-188</v>
      </c>
      <c r="D12" s="228" t="s">
        <v>398</v>
      </c>
      <c r="F12" s="282">
        <f>管理者用グラフシート!J10-管理者用グラフシート!D6</f>
        <v>-174</v>
      </c>
      <c r="G12" s="282"/>
      <c r="H12" s="21" t="s">
        <v>399</v>
      </c>
      <c r="I12" s="39"/>
    </row>
    <row r="22" spans="7:7" ht="22.5" customHeight="1" x14ac:dyDescent="0.15">
      <c r="G22" s="21">
        <v>15</v>
      </c>
    </row>
    <row r="34" spans="1:12" s="44" customFormat="1" ht="40.5" customHeight="1" x14ac:dyDescent="0.15">
      <c r="A34" s="116" t="s">
        <v>68</v>
      </c>
    </row>
    <row r="35" spans="1:12" ht="22.5" customHeight="1" x14ac:dyDescent="0.15">
      <c r="A35" s="272">
        <f>管理者用グラフシート!H20</f>
        <v>2040</v>
      </c>
      <c r="B35" s="272"/>
      <c r="C35" s="283" t="s">
        <v>363</v>
      </c>
      <c r="D35" s="283"/>
      <c r="E35" s="39"/>
      <c r="F35" s="41"/>
      <c r="G35" s="41"/>
      <c r="H35" s="280"/>
      <c r="I35" s="279"/>
    </row>
    <row r="36" spans="1:12" ht="22.5" customHeight="1" x14ac:dyDescent="0.15">
      <c r="A36" s="39" t="s">
        <v>237</v>
      </c>
      <c r="B36" s="36"/>
      <c r="C36" s="36"/>
      <c r="D36" s="36"/>
      <c r="E36" s="36"/>
      <c r="F36" s="277">
        <f>管理者用グラフシート!I20</f>
        <v>22</v>
      </c>
      <c r="G36" s="277"/>
      <c r="H36" s="88" t="s">
        <v>233</v>
      </c>
      <c r="I36" s="40"/>
    </row>
    <row r="37" spans="1:12" ht="22.5" customHeight="1" x14ac:dyDescent="0.15">
      <c r="A37" s="39" t="s">
        <v>234</v>
      </c>
      <c r="B37" s="36"/>
      <c r="C37" s="36"/>
      <c r="D37" s="36"/>
      <c r="E37" s="36"/>
      <c r="F37" s="277">
        <f>管理者用グラフシート!I28</f>
        <v>11</v>
      </c>
      <c r="G37" s="277"/>
      <c r="H37" s="117" t="s">
        <v>235</v>
      </c>
      <c r="I37" s="92"/>
    </row>
    <row r="38" spans="1:12" ht="22.5" customHeight="1" x14ac:dyDescent="0.15">
      <c r="A38" s="36"/>
      <c r="B38" s="36"/>
      <c r="C38" s="36"/>
      <c r="D38" s="279"/>
      <c r="E38" s="279"/>
      <c r="F38" s="38"/>
      <c r="G38" s="35"/>
      <c r="H38" s="36" t="s">
        <v>236</v>
      </c>
      <c r="I38" s="36"/>
    </row>
    <row r="39" spans="1:12" ht="22.5" customHeight="1" x14ac:dyDescent="0.15">
      <c r="A39" s="36"/>
      <c r="B39" s="36"/>
      <c r="C39" s="36"/>
      <c r="D39" s="92"/>
      <c r="E39" s="92"/>
      <c r="F39" s="38"/>
      <c r="G39" s="35"/>
      <c r="H39" s="36"/>
      <c r="I39" s="36"/>
    </row>
    <row r="40" spans="1:12" ht="22.5" customHeight="1" x14ac:dyDescent="0.15">
      <c r="A40" s="21" t="s">
        <v>67</v>
      </c>
      <c r="C40" s="219">
        <f>管理者入力シート!B5</f>
        <v>2020</v>
      </c>
      <c r="D40" s="216" t="s">
        <v>373</v>
      </c>
      <c r="F40" s="271">
        <f>F36-現況シート!F36</f>
        <v>-23</v>
      </c>
      <c r="G40" s="271"/>
      <c r="H40" s="212" t="s">
        <v>60</v>
      </c>
    </row>
    <row r="41" spans="1:12" ht="22.5" customHeight="1" x14ac:dyDescent="0.15">
      <c r="A41" s="21" t="s">
        <v>69</v>
      </c>
      <c r="B41" s="36"/>
      <c r="C41" s="219">
        <f>管理者入力シート!B5</f>
        <v>2020</v>
      </c>
      <c r="D41" s="21" t="s">
        <v>374</v>
      </c>
      <c r="F41" s="271">
        <f>F37-現況シート!F37</f>
        <v>-12</v>
      </c>
      <c r="G41" s="271"/>
      <c r="H41" s="212" t="s">
        <v>59</v>
      </c>
      <c r="I41" s="36"/>
      <c r="J41" s="36"/>
      <c r="K41" s="36"/>
      <c r="L41" s="36"/>
    </row>
    <row r="42" spans="1:12" ht="22.5" customHeight="1" x14ac:dyDescent="0.15">
      <c r="A42" s="36"/>
      <c r="B42" s="36"/>
      <c r="C42" s="36"/>
      <c r="D42" s="42"/>
      <c r="E42" s="42"/>
      <c r="F42" s="36"/>
      <c r="G42" s="212"/>
      <c r="H42" s="212"/>
      <c r="I42" s="213" t="s">
        <v>375</v>
      </c>
      <c r="J42" s="36"/>
      <c r="K42" s="36"/>
      <c r="L42" s="36"/>
    </row>
    <row r="43" spans="1:12" ht="22.5" customHeight="1" x14ac:dyDescent="0.15">
      <c r="A43" s="36"/>
      <c r="B43" s="36"/>
      <c r="C43" s="36"/>
      <c r="D43" s="36"/>
      <c r="E43" s="36"/>
      <c r="F43" s="36"/>
      <c r="G43" s="36"/>
      <c r="H43" s="36"/>
      <c r="I43" s="36"/>
      <c r="J43" s="36"/>
      <c r="K43" s="36"/>
      <c r="L43" s="36"/>
    </row>
    <row r="68" spans="1:9" s="44" customFormat="1" ht="44.25" customHeight="1" x14ac:dyDescent="0.15">
      <c r="A68" s="116" t="s">
        <v>74</v>
      </c>
    </row>
    <row r="69" spans="1:9" ht="22.5" customHeight="1" x14ac:dyDescent="0.15">
      <c r="A69" s="272">
        <f>管理者用グラフシート!H38</f>
        <v>2040</v>
      </c>
      <c r="B69" s="272"/>
      <c r="C69" s="283" t="s">
        <v>363</v>
      </c>
      <c r="D69" s="283"/>
      <c r="E69" s="39"/>
      <c r="F69" s="40"/>
      <c r="G69" s="42"/>
      <c r="H69" s="73"/>
      <c r="I69" s="77"/>
    </row>
    <row r="70" spans="1:9" ht="22.5" customHeight="1" x14ac:dyDescent="0.15">
      <c r="A70" s="39" t="s">
        <v>238</v>
      </c>
      <c r="B70" s="36"/>
      <c r="C70" s="277">
        <f>管理者用グラフシート!I38</f>
        <v>308</v>
      </c>
      <c r="D70" s="277"/>
      <c r="E70" s="88" t="s">
        <v>239</v>
      </c>
      <c r="F70" s="40"/>
      <c r="G70" s="276">
        <f>管理者用グラフシート!I56</f>
        <v>0.52</v>
      </c>
      <c r="H70" s="276"/>
      <c r="I70" s="118" t="s">
        <v>240</v>
      </c>
    </row>
    <row r="71" spans="1:9" ht="22.5" customHeight="1" x14ac:dyDescent="0.15">
      <c r="A71" s="39" t="s">
        <v>241</v>
      </c>
      <c r="B71" s="39"/>
      <c r="C71" s="277">
        <f>管理者用グラフシート!I46</f>
        <v>207</v>
      </c>
      <c r="D71" s="277"/>
      <c r="E71" s="39" t="s">
        <v>239</v>
      </c>
      <c r="F71" s="39"/>
      <c r="G71" s="284">
        <f>管理者用グラフシート!I64</f>
        <v>0.35</v>
      </c>
      <c r="H71" s="279"/>
      <c r="I71" s="39" t="s">
        <v>242</v>
      </c>
    </row>
    <row r="72" spans="1:9" ht="27.75" customHeight="1" x14ac:dyDescent="0.15">
      <c r="A72" s="39"/>
      <c r="B72" s="39"/>
      <c r="C72" s="87"/>
      <c r="D72" s="87"/>
      <c r="E72" s="39"/>
      <c r="F72" s="39"/>
      <c r="G72" s="285" t="s">
        <v>236</v>
      </c>
      <c r="H72" s="285"/>
      <c r="I72" s="285"/>
    </row>
    <row r="73" spans="1:9" ht="22.5" customHeight="1" x14ac:dyDescent="0.15">
      <c r="A73" s="272">
        <f>管理者入力シート!B5</f>
        <v>2020</v>
      </c>
      <c r="B73" s="272"/>
      <c r="C73" s="21" t="s">
        <v>228</v>
      </c>
      <c r="D73" s="40"/>
      <c r="E73" s="40"/>
      <c r="F73" s="37"/>
      <c r="G73" s="36"/>
      <c r="H73" s="36"/>
    </row>
    <row r="74" spans="1:9" ht="22.5" customHeight="1" x14ac:dyDescent="0.15">
      <c r="B74" s="21" t="s">
        <v>81</v>
      </c>
      <c r="D74" s="42"/>
      <c r="E74" s="277"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9ポイント上昇</v>
      </c>
      <c r="F74" s="277"/>
      <c r="G74" s="277"/>
      <c r="H74" s="21" t="s">
        <v>82</v>
      </c>
    </row>
    <row r="75" spans="1:9" ht="22.5" customHeight="1" x14ac:dyDescent="0.15">
      <c r="B75" s="21" t="s">
        <v>83</v>
      </c>
      <c r="D75" s="42"/>
      <c r="E75" s="278"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11ポイント上昇</v>
      </c>
      <c r="F75" s="278"/>
      <c r="G75" s="278"/>
      <c r="H75" s="21" t="s">
        <v>77</v>
      </c>
    </row>
    <row r="101" spans="1:9" s="44" customFormat="1" ht="40.5" customHeight="1" x14ac:dyDescent="0.15">
      <c r="A101" s="116" t="s">
        <v>112</v>
      </c>
    </row>
    <row r="102" spans="1:9" ht="22.5" customHeight="1" x14ac:dyDescent="0.15">
      <c r="A102" s="273">
        <f>管理者用グラフシート!H91</f>
        <v>2030</v>
      </c>
      <c r="B102" s="273"/>
      <c r="C102" s="21" t="s">
        <v>364</v>
      </c>
      <c r="D102" s="215"/>
    </row>
    <row r="103" spans="1:9" ht="27.75" customHeight="1" x14ac:dyDescent="0.15">
      <c r="A103" s="272">
        <f>管理者入力シート!B5</f>
        <v>2020</v>
      </c>
      <c r="B103" s="272"/>
      <c r="C103" s="39" t="s">
        <v>385</v>
      </c>
      <c r="D103" s="41"/>
      <c r="E103" s="39"/>
      <c r="G103" s="227">
        <f>SUM(管理者用グラフシート!H97:I98)-SUM(管理者用グラフシート!B93:C94)</f>
        <v>-13</v>
      </c>
      <c r="H103" s="229" t="s">
        <v>60</v>
      </c>
      <c r="I103" s="36"/>
    </row>
    <row r="104" spans="1:9" ht="22.5" customHeight="1" x14ac:dyDescent="0.15">
      <c r="A104" s="38" t="s">
        <v>387</v>
      </c>
      <c r="B104" s="36"/>
      <c r="C104" s="227">
        <f>SUM(管理者用グラフシート!H99:I100)-SUM(管理者用グラフシート!B95:C96)</f>
        <v>-22</v>
      </c>
      <c r="D104" s="39" t="s">
        <v>423</v>
      </c>
      <c r="E104" s="40"/>
      <c r="G104" s="227">
        <f>SUM(管理者用グラフシート!H101:I102)-SUM(管理者用グラフシート!B97:C98)</f>
        <v>-32</v>
      </c>
      <c r="H104" s="36" t="s">
        <v>60</v>
      </c>
      <c r="I104" s="36"/>
    </row>
    <row r="105" spans="1:9" ht="22.5" customHeight="1" x14ac:dyDescent="0.15">
      <c r="A105" s="95" t="s">
        <v>389</v>
      </c>
      <c r="B105" s="95"/>
      <c r="C105" s="227">
        <f>SUM(管理者用グラフシート!H103:I104)-SUM(管理者用グラフシート!B99:C100)</f>
        <v>-16</v>
      </c>
      <c r="D105" s="39" t="s">
        <v>70</v>
      </c>
      <c r="E105" s="40"/>
      <c r="F105" s="225"/>
      <c r="G105" s="36"/>
      <c r="H105" s="36"/>
    </row>
    <row r="136" spans="1:9" ht="22.5" customHeight="1" x14ac:dyDescent="0.15">
      <c r="A136" s="273">
        <f>管理者用グラフシート!H139</f>
        <v>2040</v>
      </c>
      <c r="B136" s="273"/>
      <c r="C136" s="21" t="s">
        <v>364</v>
      </c>
      <c r="E136" s="95"/>
      <c r="F136" s="95"/>
      <c r="G136" s="95"/>
      <c r="H136" s="95"/>
      <c r="I136" s="95"/>
    </row>
    <row r="137" spans="1:9" ht="22.5" customHeight="1" x14ac:dyDescent="0.15">
      <c r="A137" s="272">
        <f>管理者入力シート!B5</f>
        <v>2020</v>
      </c>
      <c r="B137" s="272"/>
      <c r="C137" s="39" t="s">
        <v>385</v>
      </c>
      <c r="D137" s="41"/>
      <c r="E137" s="39"/>
      <c r="G137" s="227">
        <f>SUM(管理者用グラフシート!H145:I146)-SUM(管理者用グラフシート!B93:C94)</f>
        <v>-20</v>
      </c>
      <c r="H137" s="229" t="s">
        <v>60</v>
      </c>
      <c r="I137" s="36"/>
    </row>
    <row r="138" spans="1:9" ht="22.5" customHeight="1" x14ac:dyDescent="0.15">
      <c r="A138" s="38" t="s">
        <v>387</v>
      </c>
      <c r="B138" s="36"/>
      <c r="C138" s="227">
        <f>SUM(管理者用グラフシート!H147:I148)-SUM(管理者用グラフシート!B95:C96)</f>
        <v>-34</v>
      </c>
      <c r="D138" s="39" t="s">
        <v>423</v>
      </c>
      <c r="E138" s="40"/>
      <c r="G138" s="227">
        <f>SUM(管理者用グラフシート!H149:I150)-SUM(管理者用グラフシート!B97:C98)</f>
        <v>-57</v>
      </c>
      <c r="H138" s="36" t="s">
        <v>60</v>
      </c>
      <c r="I138" s="36"/>
    </row>
    <row r="139" spans="1:9" ht="22.5" customHeight="1" x14ac:dyDescent="0.15">
      <c r="A139" s="95" t="s">
        <v>389</v>
      </c>
      <c r="B139" s="95"/>
      <c r="C139" s="227">
        <f>SUM(管理者用グラフシート!H151:I152)-SUM(管理者用グラフシート!B99:C100)</f>
        <v>-50</v>
      </c>
      <c r="D139" s="39" t="s">
        <v>70</v>
      </c>
      <c r="E139" s="40"/>
      <c r="F139" s="225"/>
      <c r="G139" s="36"/>
      <c r="H139" s="36"/>
    </row>
    <row r="169" spans="1:9" ht="22.5" customHeight="1" thickBot="1" x14ac:dyDescent="0.2"/>
    <row r="170" spans="1:9" ht="22.5" customHeight="1" x14ac:dyDescent="0.15">
      <c r="A170" s="96" t="s">
        <v>372</v>
      </c>
      <c r="B170" s="97"/>
      <c r="C170" s="97"/>
      <c r="D170" s="97"/>
      <c r="E170" s="97"/>
      <c r="F170" s="97"/>
      <c r="G170" s="97"/>
      <c r="H170" s="97"/>
      <c r="I170" s="98"/>
    </row>
    <row r="171" spans="1:9" ht="22.5" customHeight="1" x14ac:dyDescent="0.15">
      <c r="A171" s="99" t="s">
        <v>246</v>
      </c>
      <c r="B171" s="36"/>
      <c r="C171" s="36"/>
      <c r="D171" s="36"/>
      <c r="E171" s="36"/>
      <c r="F171" s="36"/>
      <c r="G171" s="36"/>
      <c r="H171" s="36"/>
      <c r="I171" s="100"/>
    </row>
    <row r="172" spans="1:9" ht="22.5" customHeight="1" x14ac:dyDescent="0.15">
      <c r="A172" s="99"/>
      <c r="B172" s="36"/>
      <c r="C172" s="36"/>
      <c r="D172" s="36"/>
      <c r="E172" s="36"/>
      <c r="F172" s="36"/>
      <c r="G172" s="36"/>
      <c r="H172" s="36"/>
      <c r="I172" s="100"/>
    </row>
    <row r="173" spans="1:9" ht="22.5" customHeight="1" x14ac:dyDescent="0.15">
      <c r="A173" s="109" t="s">
        <v>247</v>
      </c>
      <c r="B173" s="36"/>
      <c r="C173" s="36"/>
      <c r="D173" s="36"/>
      <c r="E173" s="36"/>
      <c r="F173" s="36"/>
      <c r="G173" s="36"/>
      <c r="H173" s="36"/>
      <c r="I173" s="100"/>
    </row>
    <row r="174" spans="1:9" ht="22.5" customHeight="1" x14ac:dyDescent="0.15">
      <c r="A174" s="107" t="s">
        <v>343</v>
      </c>
      <c r="B174" s="90" t="s">
        <v>342</v>
      </c>
      <c r="C174" s="36"/>
      <c r="D174" s="36"/>
      <c r="E174" s="36"/>
      <c r="F174" s="36"/>
      <c r="G174" s="36"/>
      <c r="H174" s="36"/>
      <c r="I174" s="100"/>
    </row>
    <row r="175" spans="1:9" ht="22.5" customHeight="1" x14ac:dyDescent="0.15">
      <c r="A175" s="109"/>
      <c r="B175" s="90" t="s">
        <v>341</v>
      </c>
      <c r="C175" s="36"/>
      <c r="D175" s="36"/>
      <c r="E175" s="36"/>
      <c r="F175" s="36"/>
      <c r="G175" s="36"/>
      <c r="H175" s="36"/>
      <c r="I175" s="100"/>
    </row>
    <row r="176" spans="1:9" ht="22.5" customHeight="1" x14ac:dyDescent="0.15">
      <c r="A176" s="99"/>
      <c r="B176" s="90" t="s">
        <v>355</v>
      </c>
      <c r="C176" s="36"/>
      <c r="D176" s="36"/>
      <c r="E176" s="36"/>
      <c r="F176" s="36"/>
      <c r="G176" s="36"/>
      <c r="H176" s="36"/>
      <c r="I176" s="100"/>
    </row>
    <row r="177" spans="1:9" ht="22.5" customHeight="1" x14ac:dyDescent="0.15">
      <c r="A177" s="107"/>
      <c r="B177" s="90"/>
      <c r="C177" s="36"/>
      <c r="D177" s="36"/>
      <c r="E177" s="36"/>
      <c r="F177" s="36"/>
      <c r="G177" s="36"/>
      <c r="H177" s="36"/>
      <c r="I177" s="100"/>
    </row>
    <row r="178" spans="1:9" ht="22.5" customHeight="1" x14ac:dyDescent="0.15">
      <c r="A178" s="107" t="s">
        <v>344</v>
      </c>
      <c r="B178" s="90" t="s">
        <v>345</v>
      </c>
      <c r="C178" s="36"/>
      <c r="D178" s="36"/>
      <c r="E178" s="36"/>
      <c r="F178" s="36"/>
      <c r="G178" s="36"/>
      <c r="H178" s="36"/>
      <c r="I178" s="100"/>
    </row>
    <row r="179" spans="1:9" ht="22.5" customHeight="1" x14ac:dyDescent="0.15">
      <c r="A179" s="107"/>
      <c r="B179" s="90"/>
      <c r="C179" s="36"/>
      <c r="D179" s="36"/>
      <c r="E179" s="36"/>
      <c r="F179" s="36"/>
      <c r="G179" s="36"/>
      <c r="H179" s="36"/>
      <c r="I179" s="100"/>
    </row>
    <row r="180" spans="1:9" ht="22.5" customHeight="1" x14ac:dyDescent="0.15">
      <c r="A180" s="107" t="s">
        <v>346</v>
      </c>
      <c r="B180" s="90" t="s">
        <v>347</v>
      </c>
      <c r="C180" s="36"/>
      <c r="D180" s="36"/>
      <c r="E180" s="36"/>
      <c r="F180" s="36"/>
      <c r="G180" s="36"/>
      <c r="H180" s="36"/>
      <c r="I180" s="100"/>
    </row>
    <row r="181" spans="1:9" ht="22.5" customHeight="1" x14ac:dyDescent="0.15">
      <c r="A181" s="107"/>
      <c r="B181" s="90"/>
      <c r="C181" s="36"/>
      <c r="D181" s="36"/>
      <c r="E181" s="36"/>
      <c r="F181" s="36"/>
      <c r="G181" s="36"/>
      <c r="H181" s="36"/>
      <c r="I181" s="100"/>
    </row>
    <row r="182" spans="1:9" ht="22.5" customHeight="1" x14ac:dyDescent="0.15">
      <c r="A182" s="107" t="s">
        <v>348</v>
      </c>
      <c r="B182" s="90" t="s">
        <v>349</v>
      </c>
      <c r="C182" s="36"/>
      <c r="D182" s="36"/>
      <c r="E182" s="36"/>
      <c r="F182" s="36"/>
      <c r="G182" s="36"/>
      <c r="H182" s="36"/>
      <c r="I182" s="100"/>
    </row>
    <row r="183" spans="1:9" ht="22.5" customHeight="1" x14ac:dyDescent="0.15">
      <c r="A183" s="99"/>
      <c r="B183" s="90" t="s">
        <v>350</v>
      </c>
      <c r="C183" s="36"/>
      <c r="D183" s="36"/>
      <c r="E183" s="36"/>
      <c r="F183" s="36"/>
      <c r="G183" s="36"/>
      <c r="H183" s="36"/>
      <c r="I183" s="100"/>
    </row>
    <row r="184" spans="1:9" ht="22.5" customHeight="1" x14ac:dyDescent="0.15">
      <c r="A184" s="107"/>
      <c r="B184" s="90"/>
      <c r="C184" s="36"/>
      <c r="D184" s="36"/>
      <c r="E184" s="36"/>
      <c r="F184" s="36"/>
      <c r="G184" s="36"/>
      <c r="H184" s="36"/>
      <c r="I184" s="100"/>
    </row>
    <row r="185" spans="1:9" ht="22.5" customHeight="1" x14ac:dyDescent="0.15">
      <c r="A185" s="107" t="s">
        <v>351</v>
      </c>
      <c r="B185" s="90" t="s">
        <v>352</v>
      </c>
      <c r="C185" s="36"/>
      <c r="D185" s="36"/>
      <c r="E185" s="36"/>
      <c r="F185" s="36"/>
      <c r="G185" s="36"/>
      <c r="H185" s="36"/>
      <c r="I185" s="100"/>
    </row>
    <row r="186" spans="1:9" ht="22.5" customHeight="1" x14ac:dyDescent="0.15">
      <c r="A186" s="99"/>
      <c r="B186" s="90" t="s">
        <v>353</v>
      </c>
      <c r="C186" s="36"/>
      <c r="D186" s="36"/>
      <c r="E186" s="36"/>
      <c r="F186" s="36"/>
      <c r="G186" s="36"/>
      <c r="H186" s="36"/>
      <c r="I186" s="100"/>
    </row>
    <row r="187" spans="1:9" ht="22.5" customHeight="1" x14ac:dyDescent="0.15">
      <c r="A187" s="99"/>
      <c r="B187" s="36"/>
      <c r="C187" s="36"/>
      <c r="D187" s="36"/>
      <c r="E187" s="36"/>
      <c r="F187" s="36"/>
      <c r="G187" s="36"/>
      <c r="H187" s="36"/>
      <c r="I187" s="100"/>
    </row>
    <row r="188" spans="1:9" ht="22.5" customHeight="1" x14ac:dyDescent="0.15">
      <c r="A188" s="99"/>
      <c r="B188" s="36"/>
      <c r="C188" s="36"/>
      <c r="D188" s="36"/>
      <c r="E188" s="36"/>
      <c r="F188" s="36"/>
      <c r="G188" s="36"/>
      <c r="H188" s="36"/>
      <c r="I188" s="100"/>
    </row>
    <row r="189" spans="1:9" ht="22.5" customHeight="1" x14ac:dyDescent="0.15">
      <c r="A189" s="99"/>
      <c r="B189" s="36"/>
      <c r="C189" s="36"/>
      <c r="D189" s="36"/>
      <c r="E189" s="36"/>
      <c r="F189" s="36"/>
      <c r="G189" s="36"/>
      <c r="H189" s="36"/>
      <c r="I189" s="100"/>
    </row>
    <row r="190" spans="1:9" ht="22.5" customHeight="1" x14ac:dyDescent="0.15">
      <c r="A190" s="99"/>
      <c r="B190" s="36"/>
      <c r="C190" s="36"/>
      <c r="D190" s="36"/>
      <c r="E190" s="36"/>
      <c r="F190" s="36"/>
      <c r="G190" s="36"/>
      <c r="H190" s="36"/>
      <c r="I190" s="100"/>
    </row>
    <row r="191" spans="1:9" ht="22.5" customHeight="1" x14ac:dyDescent="0.15">
      <c r="A191" s="99"/>
      <c r="B191" s="36"/>
      <c r="C191" s="36"/>
      <c r="D191" s="36"/>
      <c r="E191" s="36"/>
      <c r="F191" s="36"/>
      <c r="G191" s="36"/>
      <c r="H191" s="36"/>
      <c r="I191" s="100"/>
    </row>
    <row r="192" spans="1:9" ht="22.5" customHeight="1" x14ac:dyDescent="0.15">
      <c r="A192" s="99"/>
      <c r="B192" s="36"/>
      <c r="C192" s="36"/>
      <c r="D192" s="36"/>
      <c r="E192" s="36"/>
      <c r="F192" s="36"/>
      <c r="G192" s="36"/>
      <c r="H192" s="36"/>
      <c r="I192" s="100"/>
    </row>
    <row r="193" spans="1:9" ht="22.5" customHeight="1" x14ac:dyDescent="0.15">
      <c r="A193" s="99"/>
      <c r="B193" s="36"/>
      <c r="C193" s="36"/>
      <c r="D193" s="36"/>
      <c r="E193" s="36"/>
      <c r="F193" s="36"/>
      <c r="G193" s="36"/>
      <c r="H193" s="36"/>
      <c r="I193" s="100"/>
    </row>
    <row r="194" spans="1:9" ht="22.5" customHeight="1" x14ac:dyDescent="0.15">
      <c r="A194" s="99"/>
      <c r="B194" s="36"/>
      <c r="C194" s="36"/>
      <c r="D194" s="36"/>
      <c r="E194" s="36"/>
      <c r="F194" s="36"/>
      <c r="G194" s="36"/>
      <c r="H194" s="36"/>
      <c r="I194" s="100"/>
    </row>
    <row r="195" spans="1:9" ht="22.5" customHeight="1" x14ac:dyDescent="0.15">
      <c r="A195" s="99"/>
      <c r="B195" s="36"/>
      <c r="C195" s="36"/>
      <c r="D195" s="36"/>
      <c r="E195" s="36"/>
      <c r="F195" s="36"/>
      <c r="G195" s="36"/>
      <c r="H195" s="36"/>
      <c r="I195" s="100"/>
    </row>
    <row r="196" spans="1:9" ht="22.5" customHeight="1" x14ac:dyDescent="0.15">
      <c r="A196" s="99"/>
      <c r="B196" s="36"/>
      <c r="C196" s="36"/>
      <c r="D196" s="36"/>
      <c r="E196" s="36"/>
      <c r="F196" s="36"/>
      <c r="G196" s="36"/>
      <c r="H196" s="36"/>
      <c r="I196" s="100"/>
    </row>
    <row r="197" spans="1:9" ht="22.5" customHeight="1" x14ac:dyDescent="0.15">
      <c r="A197" s="99"/>
      <c r="B197" s="36"/>
      <c r="C197" s="36"/>
      <c r="D197" s="36"/>
      <c r="E197" s="36"/>
      <c r="F197" s="36"/>
      <c r="G197" s="36"/>
      <c r="H197" s="36"/>
      <c r="I197" s="100"/>
    </row>
    <row r="198" spans="1:9" ht="22.5" customHeight="1" x14ac:dyDescent="0.15">
      <c r="A198" s="99"/>
      <c r="B198" s="36"/>
      <c r="C198" s="36"/>
      <c r="D198" s="36"/>
      <c r="E198" s="36"/>
      <c r="F198" s="36"/>
      <c r="G198" s="36"/>
      <c r="H198" s="36"/>
      <c r="I198" s="100"/>
    </row>
    <row r="199" spans="1:9" ht="22.5" customHeight="1" x14ac:dyDescent="0.15">
      <c r="A199" s="99"/>
      <c r="B199" s="36"/>
      <c r="C199" s="36"/>
      <c r="D199" s="36"/>
      <c r="E199" s="36"/>
      <c r="F199" s="36"/>
      <c r="G199" s="36"/>
      <c r="H199" s="36"/>
      <c r="I199" s="100"/>
    </row>
    <row r="200" spans="1:9" ht="22.5" customHeight="1" x14ac:dyDescent="0.15">
      <c r="A200" s="99"/>
      <c r="B200" s="36"/>
      <c r="C200" s="36"/>
      <c r="D200" s="36"/>
      <c r="E200" s="36"/>
      <c r="F200" s="36"/>
      <c r="G200" s="36"/>
      <c r="H200" s="36"/>
      <c r="I200" s="100"/>
    </row>
    <row r="201" spans="1:9" ht="22.5" customHeight="1" x14ac:dyDescent="0.15">
      <c r="A201" s="99"/>
      <c r="B201" s="36"/>
      <c r="C201" s="36"/>
      <c r="D201" s="36"/>
      <c r="E201" s="36"/>
      <c r="F201" s="36"/>
      <c r="G201" s="36"/>
      <c r="H201" s="36"/>
      <c r="I201" s="100"/>
    </row>
    <row r="202" spans="1:9" ht="22.5" customHeight="1" x14ac:dyDescent="0.15">
      <c r="A202" s="99"/>
      <c r="B202" s="36"/>
      <c r="C202" s="36"/>
      <c r="D202" s="36"/>
      <c r="E202" s="36"/>
      <c r="F202" s="36"/>
      <c r="G202" s="36"/>
      <c r="H202" s="36"/>
      <c r="I202" s="100"/>
    </row>
    <row r="203" spans="1:9" ht="22.5" customHeight="1" x14ac:dyDescent="0.15">
      <c r="A203" s="99"/>
      <c r="B203" s="36"/>
      <c r="C203" s="36"/>
      <c r="D203" s="36"/>
      <c r="E203" s="36"/>
      <c r="F203" s="36"/>
      <c r="G203" s="36"/>
      <c r="H203" s="36"/>
      <c r="I203" s="100"/>
    </row>
    <row r="204" spans="1:9" ht="22.5" customHeight="1" thickBot="1" x14ac:dyDescent="0.2">
      <c r="A204" s="101"/>
      <c r="B204" s="102"/>
      <c r="C204" s="102"/>
      <c r="D204" s="102"/>
      <c r="E204" s="102"/>
      <c r="F204" s="102"/>
      <c r="G204" s="102"/>
      <c r="H204" s="102"/>
      <c r="I204" s="103"/>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4"/>
  <sheetViews>
    <sheetView zoomScale="85" zoomScaleNormal="85" zoomScaleSheetLayoutView="85" workbookViewId="0"/>
  </sheetViews>
  <sheetFormatPr defaultColWidth="9" defaultRowHeight="22.5" customHeight="1" x14ac:dyDescent="0.15"/>
  <cols>
    <col min="1" max="1" width="10" style="21" customWidth="1"/>
    <col min="2" max="2" width="9.125" style="21" customWidth="1"/>
    <col min="3" max="3" width="10" style="21" customWidth="1"/>
    <col min="4" max="4" width="9" style="21" customWidth="1"/>
    <col min="5" max="5" width="10" style="21" bestFit="1" customWidth="1"/>
    <col min="6" max="8" width="10" style="21" customWidth="1"/>
    <col min="9" max="9" width="10.875" style="21" customWidth="1"/>
    <col min="10" max="16384" width="9" style="21"/>
  </cols>
  <sheetData>
    <row r="1" spans="1:14" ht="22.5" customHeight="1" x14ac:dyDescent="0.15">
      <c r="A1" s="21" t="s">
        <v>251</v>
      </c>
    </row>
    <row r="2" spans="1:14" ht="31.5" customHeight="1" x14ac:dyDescent="0.15">
      <c r="A2" s="286" t="str">
        <f>管理者入力シート!B4</f>
        <v>永久津中学校区</v>
      </c>
      <c r="B2" s="286"/>
      <c r="C2" s="286"/>
      <c r="D2" s="274" t="s">
        <v>249</v>
      </c>
      <c r="E2" s="274"/>
      <c r="F2" s="274"/>
      <c r="G2" s="274"/>
      <c r="H2" s="274"/>
      <c r="I2" s="274"/>
    </row>
    <row r="3" spans="1:14" ht="31.5" customHeight="1" x14ac:dyDescent="0.15">
      <c r="A3" s="286"/>
      <c r="B3" s="286"/>
      <c r="C3" s="286"/>
      <c r="D3" s="274"/>
      <c r="E3" s="274"/>
      <c r="F3" s="274"/>
      <c r="G3" s="274"/>
      <c r="H3" s="274"/>
      <c r="I3" s="274"/>
    </row>
    <row r="4" spans="1:14" ht="9.75" customHeight="1" x14ac:dyDescent="0.15"/>
    <row r="5" spans="1:14" s="123" customFormat="1" ht="40.5" customHeight="1" x14ac:dyDescent="0.15">
      <c r="A5" s="116" t="s">
        <v>250</v>
      </c>
      <c r="I5" s="124"/>
    </row>
    <row r="6" spans="1:14" ht="18.75" x14ac:dyDescent="0.15">
      <c r="A6" s="21" t="s">
        <v>252</v>
      </c>
    </row>
    <row r="7" spans="1:14" ht="13.5" customHeight="1" x14ac:dyDescent="0.15"/>
    <row r="8" spans="1:14" s="126" customFormat="1" ht="18" customHeight="1" x14ac:dyDescent="0.15">
      <c r="A8" s="128" t="s">
        <v>255</v>
      </c>
    </row>
    <row r="9" spans="1:14" s="126" customFormat="1" ht="19.5" customHeight="1" x14ac:dyDescent="0.15">
      <c r="A9" s="128" t="s">
        <v>256</v>
      </c>
    </row>
    <row r="10" spans="1:14" s="126" customFormat="1" ht="19.5" customHeight="1" x14ac:dyDescent="0.15">
      <c r="A10" s="89" t="s">
        <v>253</v>
      </c>
      <c r="B10" s="89"/>
      <c r="C10" s="89"/>
      <c r="D10" s="89"/>
      <c r="E10" s="89"/>
      <c r="F10" s="89"/>
      <c r="G10" s="89"/>
      <c r="H10" s="89"/>
      <c r="I10" s="89"/>
      <c r="N10" s="89"/>
    </row>
    <row r="11" spans="1:14" s="126" customFormat="1" ht="19.5" customHeight="1" x14ac:dyDescent="0.15">
      <c r="A11" s="89" t="s">
        <v>124</v>
      </c>
      <c r="B11" s="89"/>
      <c r="C11" s="89"/>
      <c r="D11" s="89"/>
      <c r="E11" s="89"/>
      <c r="F11" s="89"/>
      <c r="G11" s="89"/>
      <c r="H11" s="89"/>
      <c r="I11" s="89"/>
      <c r="N11" s="89"/>
    </row>
    <row r="12" spans="1:14" s="126" customFormat="1" ht="19.5" customHeight="1" x14ac:dyDescent="0.15">
      <c r="A12" s="89" t="s">
        <v>125</v>
      </c>
      <c r="B12" s="89"/>
      <c r="C12" s="89"/>
      <c r="D12" s="89"/>
      <c r="E12" s="89"/>
      <c r="F12" s="89"/>
      <c r="G12" s="89"/>
      <c r="H12" s="89"/>
      <c r="I12" s="89"/>
      <c r="N12" s="89"/>
    </row>
    <row r="13" spans="1:14" s="126" customFormat="1" ht="19.5" customHeight="1" x14ac:dyDescent="0.15">
      <c r="A13" s="89" t="s">
        <v>126</v>
      </c>
      <c r="B13" s="89"/>
      <c r="C13" s="89"/>
      <c r="D13" s="89"/>
      <c r="E13" s="89"/>
      <c r="F13" s="89"/>
      <c r="G13" s="89"/>
      <c r="H13" s="89"/>
      <c r="I13" s="89"/>
      <c r="N13" s="89"/>
    </row>
    <row r="14" spans="1:14" s="126" customFormat="1" ht="18" customHeight="1" thickBot="1" x14ac:dyDescent="0.2">
      <c r="A14" s="89"/>
      <c r="B14" s="89"/>
      <c r="C14" s="89"/>
      <c r="D14" s="89"/>
      <c r="E14" s="89"/>
      <c r="F14" s="89"/>
      <c r="G14" s="89"/>
      <c r="H14" s="89"/>
      <c r="I14" s="89"/>
      <c r="N14" s="89"/>
    </row>
    <row r="15" spans="1:14" s="126" customFormat="1" ht="17.25" customHeight="1" thickTop="1" x14ac:dyDescent="0.15">
      <c r="A15" s="290" t="s">
        <v>254</v>
      </c>
      <c r="B15" s="290"/>
      <c r="C15" s="290"/>
      <c r="D15" s="291" t="s">
        <v>258</v>
      </c>
      <c r="E15" s="292"/>
      <c r="F15" s="287" t="s">
        <v>257</v>
      </c>
      <c r="G15" s="288"/>
      <c r="H15" s="289"/>
      <c r="I15" s="89"/>
      <c r="N15" s="89"/>
    </row>
    <row r="16" spans="1:14" ht="17.25" customHeight="1" x14ac:dyDescent="0.15">
      <c r="A16" s="135" t="s">
        <v>254</v>
      </c>
      <c r="B16" s="135" t="s">
        <v>21</v>
      </c>
      <c r="C16" s="135" t="s">
        <v>22</v>
      </c>
      <c r="D16" s="291"/>
      <c r="E16" s="292"/>
      <c r="F16" s="137"/>
      <c r="G16" s="138" t="s">
        <v>21</v>
      </c>
      <c r="H16" s="139" t="s">
        <v>22</v>
      </c>
      <c r="I16" s="36"/>
      <c r="N16" s="36"/>
    </row>
    <row r="17" spans="1:14" ht="18.75" customHeight="1" x14ac:dyDescent="0.15">
      <c r="A17" s="136" t="s">
        <v>0</v>
      </c>
      <c r="B17" s="127">
        <v>1</v>
      </c>
      <c r="C17" s="127">
        <v>1</v>
      </c>
      <c r="D17" s="291"/>
      <c r="E17" s="292"/>
      <c r="F17" s="130" t="s">
        <v>0</v>
      </c>
      <c r="G17" s="127">
        <v>1</v>
      </c>
      <c r="H17" s="129">
        <v>1</v>
      </c>
      <c r="I17" s="36"/>
      <c r="N17" s="36"/>
    </row>
    <row r="18" spans="1:14" ht="18.75" customHeight="1" x14ac:dyDescent="0.15">
      <c r="A18" s="136" t="s">
        <v>1</v>
      </c>
      <c r="B18" s="127"/>
      <c r="C18" s="127"/>
      <c r="D18" s="291"/>
      <c r="E18" s="292"/>
      <c r="F18" s="130" t="s">
        <v>1</v>
      </c>
      <c r="G18" s="127"/>
      <c r="H18" s="129"/>
      <c r="I18" s="36"/>
      <c r="N18" s="36"/>
    </row>
    <row r="19" spans="1:14" ht="18.75" customHeight="1" x14ac:dyDescent="0.15">
      <c r="A19" s="136" t="s">
        <v>2</v>
      </c>
      <c r="B19" s="79">
        <v>1</v>
      </c>
      <c r="C19" s="79">
        <v>1</v>
      </c>
      <c r="D19" s="291"/>
      <c r="E19" s="292"/>
      <c r="F19" s="130" t="s">
        <v>2</v>
      </c>
      <c r="G19" s="79">
        <v>1</v>
      </c>
      <c r="H19" s="131">
        <v>1</v>
      </c>
      <c r="I19" s="36"/>
      <c r="N19" s="36"/>
    </row>
    <row r="20" spans="1:14" ht="18.75" customHeight="1" x14ac:dyDescent="0.15">
      <c r="A20" s="136" t="s">
        <v>3</v>
      </c>
      <c r="B20" s="79"/>
      <c r="C20" s="79"/>
      <c r="D20" s="36"/>
      <c r="E20" s="36"/>
      <c r="F20" s="130" t="s">
        <v>3</v>
      </c>
      <c r="G20" s="79"/>
      <c r="H20" s="131"/>
      <c r="I20" s="36"/>
      <c r="N20" s="36"/>
    </row>
    <row r="21" spans="1:14" ht="18.75" customHeight="1" x14ac:dyDescent="0.15">
      <c r="A21" s="136" t="s">
        <v>4</v>
      </c>
      <c r="B21" s="79"/>
      <c r="C21" s="79"/>
      <c r="D21" s="36"/>
      <c r="E21" s="36"/>
      <c r="F21" s="130" t="s">
        <v>4</v>
      </c>
      <c r="G21" s="79"/>
      <c r="H21" s="131"/>
      <c r="I21" s="36"/>
      <c r="J21" s="36"/>
      <c r="K21" s="36"/>
      <c r="L21" s="36"/>
      <c r="M21" s="36"/>
      <c r="N21" s="36"/>
    </row>
    <row r="22" spans="1:14" ht="18.75" customHeight="1" x14ac:dyDescent="0.15">
      <c r="A22" s="136" t="s">
        <v>5</v>
      </c>
      <c r="B22" s="79">
        <v>2</v>
      </c>
      <c r="C22" s="79">
        <v>2</v>
      </c>
      <c r="D22" s="36"/>
      <c r="E22" s="36"/>
      <c r="F22" s="130" t="s">
        <v>5</v>
      </c>
      <c r="G22" s="79">
        <v>2</v>
      </c>
      <c r="H22" s="131">
        <v>2</v>
      </c>
      <c r="I22" s="36"/>
      <c r="J22" s="36"/>
      <c r="K22" s="36"/>
      <c r="L22" s="36"/>
      <c r="M22" s="36"/>
      <c r="N22" s="36"/>
    </row>
    <row r="23" spans="1:14" ht="18.75" customHeight="1" x14ac:dyDescent="0.15">
      <c r="A23" s="136" t="s">
        <v>6</v>
      </c>
      <c r="B23" s="79"/>
      <c r="C23" s="79"/>
      <c r="D23" s="36"/>
      <c r="E23" s="36"/>
      <c r="F23" s="130" t="s">
        <v>6</v>
      </c>
      <c r="G23" s="79"/>
      <c r="H23" s="131"/>
      <c r="I23" s="36"/>
      <c r="J23" s="36"/>
      <c r="K23" s="36"/>
      <c r="L23" s="36"/>
      <c r="M23" s="36"/>
      <c r="N23" s="36"/>
    </row>
    <row r="24" spans="1:14" ht="18.75" customHeight="1" x14ac:dyDescent="0.15">
      <c r="A24" s="136" t="s">
        <v>7</v>
      </c>
      <c r="B24" s="79"/>
      <c r="C24" s="79"/>
      <c r="D24" s="36"/>
      <c r="E24" s="36"/>
      <c r="F24" s="130" t="s">
        <v>7</v>
      </c>
      <c r="G24" s="79"/>
      <c r="H24" s="131"/>
      <c r="I24" s="36"/>
      <c r="J24" s="36"/>
      <c r="K24" s="36"/>
      <c r="L24" s="36"/>
      <c r="M24" s="36"/>
      <c r="N24" s="36"/>
    </row>
    <row r="25" spans="1:14" ht="18.75" customHeight="1" x14ac:dyDescent="0.15">
      <c r="A25" s="136" t="s">
        <v>8</v>
      </c>
      <c r="B25" s="79"/>
      <c r="C25" s="79">
        <v>1</v>
      </c>
      <c r="D25" s="36"/>
      <c r="E25" s="36"/>
      <c r="F25" s="130" t="s">
        <v>8</v>
      </c>
      <c r="G25" s="79"/>
      <c r="H25" s="131">
        <v>1</v>
      </c>
      <c r="I25" s="36"/>
      <c r="J25" s="36"/>
      <c r="K25" s="36"/>
      <c r="L25" s="36"/>
      <c r="M25" s="36"/>
      <c r="N25" s="36"/>
    </row>
    <row r="26" spans="1:14" ht="18.75" customHeight="1" x14ac:dyDescent="0.15">
      <c r="A26" s="136" t="s">
        <v>9</v>
      </c>
      <c r="B26" s="79"/>
      <c r="C26" s="79"/>
      <c r="D26" s="36"/>
      <c r="E26" s="36"/>
      <c r="F26" s="130" t="s">
        <v>9</v>
      </c>
      <c r="G26" s="79"/>
      <c r="H26" s="131"/>
      <c r="I26" s="36"/>
      <c r="J26" s="36"/>
      <c r="K26" s="36"/>
      <c r="L26" s="36"/>
      <c r="M26" s="36"/>
      <c r="N26" s="36"/>
    </row>
    <row r="27" spans="1:14" s="123" customFormat="1" ht="18.75" customHeight="1" x14ac:dyDescent="0.15">
      <c r="A27" s="136" t="s">
        <v>10</v>
      </c>
      <c r="B27" s="79"/>
      <c r="C27" s="79"/>
      <c r="F27" s="130" t="s">
        <v>10</v>
      </c>
      <c r="G27" s="79"/>
      <c r="H27" s="131"/>
      <c r="I27" s="124"/>
    </row>
    <row r="28" spans="1:14" s="123" customFormat="1" ht="18.75" customHeight="1" x14ac:dyDescent="0.15">
      <c r="A28" s="136" t="s">
        <v>11</v>
      </c>
      <c r="B28" s="79"/>
      <c r="C28" s="79"/>
      <c r="F28" s="130" t="s">
        <v>11</v>
      </c>
      <c r="G28" s="79"/>
      <c r="H28" s="131"/>
      <c r="I28" s="124"/>
    </row>
    <row r="29" spans="1:14" s="123" customFormat="1" ht="18.75" customHeight="1" thickBot="1" x14ac:dyDescent="0.2">
      <c r="A29" s="136" t="s">
        <v>12</v>
      </c>
      <c r="B29" s="79"/>
      <c r="C29" s="79"/>
      <c r="F29" s="132" t="s">
        <v>12</v>
      </c>
      <c r="G29" s="133"/>
      <c r="H29" s="134"/>
      <c r="I29" s="124"/>
    </row>
    <row r="30" spans="1:14" s="123" customFormat="1" ht="18.75" customHeight="1" thickTop="1" x14ac:dyDescent="0.15">
      <c r="A30" s="254"/>
      <c r="B30" s="255"/>
      <c r="C30" s="255"/>
      <c r="F30" s="254"/>
      <c r="G30" s="242"/>
      <c r="H30" s="242"/>
      <c r="I30" s="124"/>
    </row>
    <row r="31" spans="1:14" s="123" customFormat="1" ht="24" customHeight="1" x14ac:dyDescent="0.15">
      <c r="A31" s="184" t="s">
        <v>328</v>
      </c>
      <c r="B31" s="302">
        <f>管理者入力シート!B5</f>
        <v>2020</v>
      </c>
      <c r="C31" s="302"/>
      <c r="D31" s="126" t="s">
        <v>412</v>
      </c>
      <c r="E31" s="142"/>
      <c r="F31" s="142"/>
      <c r="G31" s="142"/>
      <c r="H31" s="142"/>
      <c r="I31" s="258"/>
    </row>
    <row r="32" spans="1:14" s="142" customFormat="1" ht="17.25" customHeight="1" x14ac:dyDescent="0.15">
      <c r="A32" s="173" t="s">
        <v>409</v>
      </c>
      <c r="B32" s="301">
        <f>管理者入力シート!B5</f>
        <v>2020</v>
      </c>
      <c r="C32" s="301"/>
      <c r="D32" s="234" t="s">
        <v>425</v>
      </c>
      <c r="E32" s="234"/>
      <c r="F32" s="234"/>
      <c r="G32" s="234"/>
      <c r="H32" s="234"/>
      <c r="I32" s="235"/>
    </row>
    <row r="33" spans="1:11" s="143" customFormat="1" ht="17.25" customHeight="1" x14ac:dyDescent="0.15">
      <c r="A33" s="174" t="s">
        <v>424</v>
      </c>
      <c r="B33" s="175"/>
      <c r="C33" s="89"/>
      <c r="D33" s="89"/>
      <c r="E33" s="89"/>
      <c r="F33" s="176"/>
      <c r="G33" s="89"/>
      <c r="H33" s="177"/>
      <c r="I33" s="178"/>
    </row>
    <row r="34" spans="1:11" s="143" customFormat="1" ht="17.25" customHeight="1" thickBot="1" x14ac:dyDescent="0.2">
      <c r="A34" s="174" t="s">
        <v>408</v>
      </c>
      <c r="B34" s="179"/>
      <c r="C34" s="179"/>
      <c r="D34" s="179"/>
      <c r="E34" s="179"/>
      <c r="F34" s="176"/>
      <c r="G34" s="240"/>
      <c r="H34" s="240"/>
      <c r="I34" s="241"/>
    </row>
    <row r="35" spans="1:11" s="141" customFormat="1" ht="17.25" customHeight="1" thickTop="1" x14ac:dyDescent="0.15">
      <c r="A35" s="180"/>
      <c r="B35" s="297" t="s">
        <v>257</v>
      </c>
      <c r="C35" s="298"/>
      <c r="D35" s="299"/>
      <c r="E35" s="181"/>
      <c r="F35" s="176"/>
      <c r="G35" s="261"/>
      <c r="H35" s="303" t="s">
        <v>410</v>
      </c>
      <c r="I35" s="304"/>
    </row>
    <row r="36" spans="1:11" s="143" customFormat="1" ht="17.25" customHeight="1" x14ac:dyDescent="0.15">
      <c r="A36" s="174"/>
      <c r="B36" s="236"/>
      <c r="C36" s="138" t="s">
        <v>21</v>
      </c>
      <c r="D36" s="237" t="s">
        <v>22</v>
      </c>
      <c r="E36" s="179"/>
      <c r="F36" s="176"/>
      <c r="G36" s="259">
        <f>管理者入力シート!B8</f>
        <v>2025</v>
      </c>
      <c r="H36" s="293">
        <f>管理者用人口入力シート!EU22</f>
        <v>926</v>
      </c>
      <c r="I36" s="294"/>
    </row>
    <row r="37" spans="1:11" s="141" customFormat="1" ht="17.25" customHeight="1" x14ac:dyDescent="0.15">
      <c r="A37" s="180"/>
      <c r="B37" s="247" t="s">
        <v>5</v>
      </c>
      <c r="C37" s="248">
        <f>管理者用人口入力シート!DX1</f>
        <v>11</v>
      </c>
      <c r="D37" s="249">
        <f>C37</f>
        <v>11</v>
      </c>
      <c r="E37" s="181"/>
      <c r="F37" s="176"/>
      <c r="G37" s="259">
        <f>管理者入力シート!B9</f>
        <v>2030</v>
      </c>
      <c r="H37" s="293">
        <f>管理者用人口入力シート!EU25</f>
        <v>926</v>
      </c>
      <c r="I37" s="294"/>
    </row>
    <row r="38" spans="1:11" s="143" customFormat="1" ht="17.25" customHeight="1" x14ac:dyDescent="0.15">
      <c r="A38" s="174"/>
      <c r="B38" s="247" t="s">
        <v>6</v>
      </c>
      <c r="C38" s="248">
        <f>C37</f>
        <v>11</v>
      </c>
      <c r="D38" s="249">
        <f>C37</f>
        <v>11</v>
      </c>
      <c r="E38" s="179"/>
      <c r="F38" s="176"/>
      <c r="G38" s="259">
        <f>管理者入力シート!B10</f>
        <v>2035</v>
      </c>
      <c r="H38" s="293">
        <f>管理者用人口入力シート!EU28</f>
        <v>934</v>
      </c>
      <c r="I38" s="294"/>
    </row>
    <row r="39" spans="1:11" ht="17.25" customHeight="1" thickBot="1" x14ac:dyDescent="0.2">
      <c r="A39" s="182"/>
      <c r="B39" s="250" t="s">
        <v>7</v>
      </c>
      <c r="C39" s="251">
        <f>C37</f>
        <v>11</v>
      </c>
      <c r="D39" s="252">
        <f>C37</f>
        <v>11</v>
      </c>
      <c r="E39" s="36"/>
      <c r="F39" s="176"/>
      <c r="G39" s="260">
        <f>管理者入力シート!B11</f>
        <v>2040</v>
      </c>
      <c r="H39" s="295">
        <f>管理者用人口入力シート!EU31</f>
        <v>948</v>
      </c>
      <c r="I39" s="296"/>
    </row>
    <row r="40" spans="1:11" s="143" customFormat="1" ht="17.25" customHeight="1" thickTop="1" x14ac:dyDescent="0.15">
      <c r="A40" s="174"/>
      <c r="E40" s="179"/>
      <c r="F40" s="89"/>
      <c r="G40" s="253"/>
      <c r="H40" s="238"/>
      <c r="I40" s="239"/>
    </row>
    <row r="41" spans="1:11" ht="17.25" customHeight="1" x14ac:dyDescent="0.15">
      <c r="A41" s="243"/>
      <c r="B41" s="256" t="s">
        <v>411</v>
      </c>
      <c r="C41" s="183"/>
      <c r="D41" s="244"/>
      <c r="E41" s="244"/>
      <c r="F41" s="245"/>
      <c r="G41" s="245"/>
      <c r="H41" s="245"/>
      <c r="I41" s="246"/>
    </row>
    <row r="42" spans="1:11" s="123" customFormat="1" ht="40.5" customHeight="1" x14ac:dyDescent="0.15">
      <c r="A42" s="116" t="s">
        <v>64</v>
      </c>
      <c r="I42" s="124"/>
    </row>
    <row r="43" spans="1:11" ht="22.5" customHeight="1" x14ac:dyDescent="0.15">
      <c r="A43" s="272">
        <f>管理者入力シート!B9</f>
        <v>2030</v>
      </c>
      <c r="B43" s="272"/>
      <c r="C43" s="39" t="s">
        <v>417</v>
      </c>
      <c r="D43" s="277">
        <f>管理者用グラフシート!U8</f>
        <v>790</v>
      </c>
      <c r="E43" s="277"/>
      <c r="F43" s="39" t="s">
        <v>231</v>
      </c>
      <c r="G43" s="39"/>
      <c r="H43" s="40"/>
      <c r="I43" s="40"/>
    </row>
    <row r="44" spans="1:11" ht="22.5" customHeight="1" x14ac:dyDescent="0.15">
      <c r="A44" s="272">
        <f>管理者入力シート!B11</f>
        <v>2040</v>
      </c>
      <c r="B44" s="272"/>
      <c r="C44" s="39" t="s">
        <v>417</v>
      </c>
      <c r="D44" s="277">
        <f>管理者用グラフシート!U10</f>
        <v>637</v>
      </c>
      <c r="E44" s="277"/>
      <c r="F44" s="39" t="s">
        <v>231</v>
      </c>
      <c r="G44" s="39"/>
      <c r="H44" s="40"/>
      <c r="I44" s="40"/>
    </row>
    <row r="45" spans="1:11" ht="22.5" customHeight="1" x14ac:dyDescent="0.15">
      <c r="A45" s="39" t="s">
        <v>121</v>
      </c>
      <c r="B45" s="39"/>
      <c r="C45" s="39"/>
      <c r="D45" s="39"/>
      <c r="E45" s="39"/>
      <c r="F45" s="39"/>
      <c r="G45" s="39"/>
      <c r="H45" s="39"/>
      <c r="I45" s="39"/>
      <c r="J45" s="39"/>
      <c r="K45" s="39"/>
    </row>
    <row r="46" spans="1:11" ht="22.5" customHeight="1" x14ac:dyDescent="0.15">
      <c r="A46" s="272">
        <f>管理者入力シート!B9</f>
        <v>2030</v>
      </c>
      <c r="B46" s="272"/>
      <c r="C46" s="39" t="s">
        <v>418</v>
      </c>
      <c r="D46" s="280">
        <f>D43-将来予測シート①!D6</f>
        <v>19</v>
      </c>
      <c r="E46" s="280"/>
      <c r="F46" s="39" t="s">
        <v>122</v>
      </c>
      <c r="G46" s="39"/>
      <c r="H46" s="39"/>
      <c r="I46" s="39"/>
      <c r="J46" s="39"/>
      <c r="K46" s="39"/>
    </row>
    <row r="47" spans="1:11" ht="22.5" customHeight="1" x14ac:dyDescent="0.15">
      <c r="A47" s="272">
        <f>管理者入力シート!B11</f>
        <v>2040</v>
      </c>
      <c r="B47" s="272"/>
      <c r="C47" s="39" t="s">
        <v>418</v>
      </c>
      <c r="D47" s="280">
        <f>D44-将来予測シート①!D10</f>
        <v>43</v>
      </c>
      <c r="E47" s="280"/>
      <c r="F47" s="39" t="s">
        <v>123</v>
      </c>
    </row>
    <row r="76" spans="1:9" s="44" customFormat="1" ht="40.5" customHeight="1" x14ac:dyDescent="0.15">
      <c r="A76" s="116" t="s">
        <v>68</v>
      </c>
      <c r="I76" s="125"/>
    </row>
    <row r="77" spans="1:9" ht="22.5" customHeight="1" x14ac:dyDescent="0.15">
      <c r="A77" s="272">
        <f>管理者用グラフシート!O20</f>
        <v>2040</v>
      </c>
      <c r="B77" s="272"/>
      <c r="C77" s="39" t="s">
        <v>263</v>
      </c>
      <c r="E77" s="39"/>
      <c r="F77" s="41"/>
      <c r="G77" s="41"/>
      <c r="H77" s="73"/>
      <c r="I77" s="40"/>
    </row>
    <row r="78" spans="1:9" ht="22.5" customHeight="1" x14ac:dyDescent="0.15">
      <c r="A78" s="39" t="s">
        <v>237</v>
      </c>
      <c r="B78" s="39"/>
      <c r="C78" s="36"/>
      <c r="D78" s="36"/>
      <c r="E78" s="40"/>
      <c r="F78" s="277">
        <f>管理者用グラフシート!Q20</f>
        <v>28</v>
      </c>
      <c r="G78" s="277"/>
      <c r="H78" s="88" t="s">
        <v>264</v>
      </c>
      <c r="I78" s="40"/>
    </row>
    <row r="79" spans="1:9" ht="22.5" customHeight="1" x14ac:dyDescent="0.15">
      <c r="A79" s="39" t="s">
        <v>234</v>
      </c>
      <c r="B79" s="36"/>
      <c r="C79" s="36"/>
      <c r="D79" s="36"/>
      <c r="E79" s="36"/>
      <c r="F79" s="277">
        <f>管理者用グラフシート!Q28</f>
        <v>14</v>
      </c>
      <c r="G79" s="277"/>
      <c r="H79" s="88" t="s">
        <v>265</v>
      </c>
      <c r="I79" s="40"/>
    </row>
    <row r="80" spans="1:9" ht="22.5" customHeight="1" x14ac:dyDescent="0.15">
      <c r="A80" s="39"/>
      <c r="B80" s="36"/>
      <c r="C80" s="36"/>
      <c r="D80" s="36"/>
      <c r="E80" s="36"/>
      <c r="F80" s="93"/>
      <c r="G80" s="93"/>
      <c r="H80" s="88" t="s">
        <v>266</v>
      </c>
      <c r="I80" s="40"/>
    </row>
    <row r="81" spans="1:13" ht="22.5" customHeight="1" x14ac:dyDescent="0.15">
      <c r="A81" s="39" t="s">
        <v>121</v>
      </c>
      <c r="B81" s="39"/>
      <c r="C81" s="39"/>
      <c r="D81" s="39"/>
      <c r="E81" s="39"/>
      <c r="F81" s="39"/>
      <c r="G81" s="39"/>
      <c r="H81" s="39"/>
      <c r="I81" s="39"/>
      <c r="J81" s="39"/>
      <c r="K81" s="39"/>
    </row>
    <row r="82" spans="1:13" ht="22.5" customHeight="1" x14ac:dyDescent="0.15">
      <c r="A82" s="39" t="s">
        <v>67</v>
      </c>
      <c r="B82" s="39"/>
      <c r="C82" s="271">
        <f>F78-将来予測シート①!F36</f>
        <v>6</v>
      </c>
      <c r="D82" s="271"/>
      <c r="E82" s="39" t="s">
        <v>60</v>
      </c>
      <c r="F82" s="39"/>
      <c r="G82" s="39"/>
      <c r="H82" s="39"/>
      <c r="I82" s="39"/>
      <c r="J82" s="39"/>
      <c r="K82" s="39"/>
    </row>
    <row r="83" spans="1:13" ht="22.5" customHeight="1" x14ac:dyDescent="0.15">
      <c r="A83" s="21" t="s">
        <v>69</v>
      </c>
      <c r="C83" s="271">
        <f>F79-将来予測シート①!F37</f>
        <v>3</v>
      </c>
      <c r="D83" s="271"/>
      <c r="E83" s="39" t="s">
        <v>267</v>
      </c>
      <c r="L83" s="145"/>
      <c r="M83" s="145"/>
    </row>
    <row r="84" spans="1:13" ht="22.5" customHeight="1" x14ac:dyDescent="0.15">
      <c r="A84" s="36"/>
      <c r="B84" s="36"/>
      <c r="C84" s="36"/>
      <c r="D84" s="42"/>
      <c r="E84" s="42"/>
      <c r="F84" s="36"/>
      <c r="G84" s="36"/>
      <c r="H84" s="36"/>
      <c r="I84" s="36"/>
      <c r="J84" s="36"/>
      <c r="K84" s="36"/>
      <c r="L84" s="36"/>
    </row>
    <row r="85" spans="1:13" ht="22.5" customHeight="1" x14ac:dyDescent="0.15">
      <c r="A85" s="36"/>
      <c r="B85" s="36"/>
      <c r="C85" s="36"/>
      <c r="D85" s="36"/>
      <c r="E85" s="36"/>
      <c r="F85" s="36"/>
      <c r="G85" s="36"/>
      <c r="H85" s="36"/>
      <c r="I85" s="36"/>
      <c r="J85" s="36"/>
      <c r="K85" s="36"/>
      <c r="L85" s="36"/>
    </row>
    <row r="110" spans="1:9" s="44" customFormat="1" ht="44.25" customHeight="1" x14ac:dyDescent="0.15">
      <c r="A110" s="116" t="s">
        <v>74</v>
      </c>
      <c r="I110" s="125"/>
    </row>
    <row r="111" spans="1:9" ht="22.5" customHeight="1" x14ac:dyDescent="0.15">
      <c r="A111" s="272">
        <f>管理者用グラフシート!O38</f>
        <v>2040</v>
      </c>
      <c r="B111" s="272"/>
      <c r="C111" s="39" t="s">
        <v>371</v>
      </c>
      <c r="E111" s="39"/>
      <c r="F111" s="41"/>
      <c r="G111" s="41"/>
      <c r="H111" s="73"/>
      <c r="I111" s="40"/>
    </row>
    <row r="112" spans="1:9" ht="22.5" customHeight="1" x14ac:dyDescent="0.15">
      <c r="A112" s="39" t="s">
        <v>269</v>
      </c>
      <c r="B112" s="39"/>
      <c r="C112" s="277">
        <f>管理者用グラフシート!Q38</f>
        <v>308</v>
      </c>
      <c r="D112" s="277"/>
      <c r="E112" s="39" t="s">
        <v>270</v>
      </c>
      <c r="F112" s="41"/>
      <c r="G112" s="119">
        <f>管理者用グラフシート!Q56</f>
        <v>0.48</v>
      </c>
      <c r="H112" s="88" t="s">
        <v>271</v>
      </c>
      <c r="I112" s="40"/>
    </row>
    <row r="113" spans="1:9" ht="22.5" customHeight="1" x14ac:dyDescent="0.15">
      <c r="A113" s="39" t="s">
        <v>268</v>
      </c>
      <c r="B113" s="36"/>
      <c r="C113" s="277">
        <f>管理者用グラフシート!Q46</f>
        <v>207</v>
      </c>
      <c r="D113" s="277"/>
      <c r="E113" s="88" t="s">
        <v>270</v>
      </c>
      <c r="F113" s="40"/>
      <c r="G113" s="119">
        <f>管理者用グラフシート!Q64</f>
        <v>0.32</v>
      </c>
      <c r="H113" s="88" t="s">
        <v>272</v>
      </c>
      <c r="I113" s="77"/>
    </row>
    <row r="114" spans="1:9" ht="22.5" customHeight="1" x14ac:dyDescent="0.15">
      <c r="A114" s="39"/>
      <c r="B114" s="39"/>
      <c r="C114" s="39"/>
      <c r="D114" s="39"/>
      <c r="E114" s="39"/>
      <c r="F114" s="39"/>
      <c r="G114" s="39" t="s">
        <v>266</v>
      </c>
      <c r="H114" s="39"/>
      <c r="I114" s="39"/>
    </row>
    <row r="115" spans="1:9" ht="22.5" customHeight="1" x14ac:dyDescent="0.15">
      <c r="A115" s="39" t="s">
        <v>121</v>
      </c>
      <c r="D115" s="40"/>
      <c r="E115" s="40"/>
      <c r="F115" s="37"/>
      <c r="G115" s="36"/>
      <c r="H115" s="36"/>
    </row>
    <row r="116" spans="1:9" ht="22.5" customHeight="1" x14ac:dyDescent="0.15">
      <c r="B116" s="21" t="s">
        <v>81</v>
      </c>
      <c r="D116" s="42"/>
      <c r="E116" s="277"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4ポイント低下</v>
      </c>
      <c r="F116" s="277"/>
      <c r="G116" s="277"/>
      <c r="H116" s="21" t="s">
        <v>82</v>
      </c>
    </row>
    <row r="117" spans="1:9" ht="22.5" customHeight="1" x14ac:dyDescent="0.15">
      <c r="B117" s="21" t="s">
        <v>83</v>
      </c>
      <c r="D117" s="42"/>
      <c r="E117" s="278"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3ポイント低下</v>
      </c>
      <c r="F117" s="278"/>
      <c r="G117" s="278"/>
      <c r="H117" s="21" t="s">
        <v>77</v>
      </c>
    </row>
    <row r="143" spans="1:9" s="123" customFormat="1" ht="46.5" customHeight="1" x14ac:dyDescent="0.15">
      <c r="A143" s="116" t="s">
        <v>112</v>
      </c>
      <c r="I143" s="124"/>
    </row>
    <row r="144" spans="1:9" ht="22.5" customHeight="1" x14ac:dyDescent="0.15">
      <c r="A144" s="273">
        <f>管理者用グラフシート!O91</f>
        <v>2030</v>
      </c>
      <c r="B144" s="273"/>
      <c r="C144" s="21" t="s">
        <v>364</v>
      </c>
    </row>
    <row r="145" spans="5:9" ht="22.5" customHeight="1" x14ac:dyDescent="0.15">
      <c r="E145" s="95"/>
      <c r="F145" s="95"/>
      <c r="G145" s="95"/>
      <c r="H145" s="95"/>
      <c r="I145" s="95"/>
    </row>
    <row r="177" spans="1:9" ht="22.5" customHeight="1" x14ac:dyDescent="0.15">
      <c r="A177" s="273">
        <f>管理者用グラフシート!O139</f>
        <v>2040</v>
      </c>
      <c r="B177" s="273"/>
      <c r="C177" s="21" t="s">
        <v>364</v>
      </c>
    </row>
    <row r="178" spans="1:9" ht="22.5" customHeight="1" x14ac:dyDescent="0.15">
      <c r="E178" s="300"/>
      <c r="F178" s="300"/>
      <c r="G178" s="300"/>
      <c r="H178" s="300"/>
      <c r="I178" s="300"/>
    </row>
    <row r="210" spans="1:13" ht="22.5" customHeight="1" x14ac:dyDescent="0.15">
      <c r="A210" s="21" t="s">
        <v>274</v>
      </c>
      <c r="B210" s="273">
        <f>管理者用グラフシート!O212</f>
        <v>2030</v>
      </c>
      <c r="C210" s="273"/>
      <c r="D210" s="146" t="s">
        <v>275</v>
      </c>
    </row>
    <row r="211" spans="1:13" ht="22.5" customHeight="1" x14ac:dyDescent="0.15">
      <c r="A211" s="21" t="s">
        <v>338</v>
      </c>
      <c r="E211" s="95"/>
      <c r="F211" s="95"/>
      <c r="G211" s="95"/>
      <c r="H211" s="95"/>
      <c r="I211" s="95"/>
    </row>
    <row r="212" spans="1:13" ht="22.5" customHeight="1" x14ac:dyDescent="0.15">
      <c r="E212" s="95"/>
      <c r="F212" s="95"/>
      <c r="I212" s="217" t="s">
        <v>327</v>
      </c>
      <c r="J212" s="95"/>
      <c r="K212" s="95"/>
      <c r="L212" s="95"/>
      <c r="M212" s="95"/>
    </row>
    <row r="245" spans="1:13" ht="22.5" customHeight="1" x14ac:dyDescent="0.15">
      <c r="A245" s="21" t="s">
        <v>274</v>
      </c>
      <c r="B245" s="273">
        <f>管理者用グラフシート!O236</f>
        <v>2040</v>
      </c>
      <c r="C245" s="273"/>
      <c r="D245" s="146" t="s">
        <v>275</v>
      </c>
    </row>
    <row r="246" spans="1:13" ht="22.5" customHeight="1" x14ac:dyDescent="0.15">
      <c r="A246" s="21" t="s">
        <v>338</v>
      </c>
      <c r="E246" s="95"/>
      <c r="F246" s="95"/>
      <c r="G246" s="95"/>
      <c r="H246" s="95"/>
      <c r="I246" s="95"/>
    </row>
    <row r="247" spans="1:13" ht="22.5" customHeight="1" x14ac:dyDescent="0.15">
      <c r="E247" s="95"/>
      <c r="F247" s="95"/>
      <c r="I247" s="217" t="s">
        <v>327</v>
      </c>
      <c r="J247" s="95"/>
      <c r="K247" s="95"/>
      <c r="L247" s="95"/>
      <c r="M247" s="95"/>
    </row>
    <row r="279" spans="1:9" ht="22.5" customHeight="1" thickBot="1" x14ac:dyDescent="0.2"/>
    <row r="280" spans="1:9" ht="22.5" customHeight="1" x14ac:dyDescent="0.15">
      <c r="A280" s="96" t="s">
        <v>365</v>
      </c>
      <c r="B280" s="97"/>
      <c r="C280" s="97"/>
      <c r="D280" s="97"/>
      <c r="E280" s="97"/>
      <c r="F280" s="97"/>
      <c r="G280" s="97"/>
      <c r="H280" s="97"/>
      <c r="I280" s="98"/>
    </row>
    <row r="281" spans="1:9" ht="22.5" customHeight="1" x14ac:dyDescent="0.15">
      <c r="A281" s="99" t="s">
        <v>354</v>
      </c>
      <c r="B281" s="36"/>
      <c r="C281" s="36"/>
      <c r="D281" s="36"/>
      <c r="E281" s="36"/>
      <c r="F281" s="36"/>
      <c r="G281" s="36"/>
      <c r="H281" s="36"/>
      <c r="I281" s="100"/>
    </row>
    <row r="282" spans="1:9" ht="22.5" customHeight="1" x14ac:dyDescent="0.15">
      <c r="A282" s="193" t="s">
        <v>446</v>
      </c>
      <c r="B282" s="90"/>
      <c r="C282" s="36"/>
      <c r="D282" s="36"/>
      <c r="E282" s="36"/>
      <c r="F282" s="36"/>
      <c r="G282" s="36"/>
      <c r="H282" s="36"/>
      <c r="I282" s="100"/>
    </row>
    <row r="283" spans="1:9" ht="22.5" customHeight="1" x14ac:dyDescent="0.15">
      <c r="A283" s="99"/>
      <c r="B283" s="90"/>
      <c r="C283" s="36"/>
      <c r="D283" s="36"/>
      <c r="E283" s="36"/>
      <c r="F283" s="36"/>
      <c r="G283" s="36"/>
      <c r="H283" s="36"/>
      <c r="I283" s="100"/>
    </row>
    <row r="284" spans="1:9" ht="22.5" customHeight="1" x14ac:dyDescent="0.15">
      <c r="A284" s="99"/>
      <c r="B284" s="90"/>
      <c r="C284" s="36"/>
      <c r="D284" s="36"/>
      <c r="E284" s="36"/>
      <c r="F284" s="36"/>
      <c r="G284" s="36"/>
      <c r="H284" s="36"/>
      <c r="I284" s="100"/>
    </row>
    <row r="285" spans="1:9" ht="22.5" customHeight="1" x14ac:dyDescent="0.15">
      <c r="A285" s="99"/>
      <c r="B285" s="90"/>
      <c r="C285" s="36"/>
      <c r="D285" s="36"/>
      <c r="E285" s="36"/>
      <c r="F285" s="36"/>
      <c r="G285" s="36"/>
      <c r="H285" s="36"/>
      <c r="I285" s="100"/>
    </row>
    <row r="286" spans="1:9" ht="22.5" customHeight="1" x14ac:dyDescent="0.15">
      <c r="A286" s="99"/>
      <c r="B286" s="90"/>
      <c r="C286" s="36"/>
      <c r="D286" s="36"/>
      <c r="E286" s="36"/>
      <c r="F286" s="36"/>
      <c r="G286" s="36"/>
      <c r="H286" s="36"/>
      <c r="I286" s="100"/>
    </row>
    <row r="287" spans="1:9" ht="22.5" customHeight="1" x14ac:dyDescent="0.15">
      <c r="A287" s="99"/>
      <c r="B287" s="90"/>
      <c r="C287" s="36"/>
      <c r="D287" s="36"/>
      <c r="E287" s="36"/>
      <c r="F287" s="36"/>
      <c r="G287" s="36"/>
      <c r="H287" s="36"/>
      <c r="I287" s="100"/>
    </row>
    <row r="288" spans="1:9" ht="22.5" customHeight="1" x14ac:dyDescent="0.15">
      <c r="A288" s="99"/>
      <c r="B288" s="90"/>
      <c r="C288" s="36"/>
      <c r="D288" s="36"/>
      <c r="E288" s="36"/>
      <c r="F288" s="36"/>
      <c r="G288" s="36"/>
      <c r="H288" s="36"/>
      <c r="I288" s="100"/>
    </row>
    <row r="289" spans="1:9" ht="22.5" customHeight="1" x14ac:dyDescent="0.15">
      <c r="A289" s="99"/>
      <c r="B289" s="36"/>
      <c r="C289" s="36"/>
      <c r="D289" s="36"/>
      <c r="E289" s="36"/>
      <c r="F289" s="36"/>
      <c r="G289" s="36"/>
      <c r="H289" s="36"/>
      <c r="I289" s="100"/>
    </row>
    <row r="290" spans="1:9" ht="22.5" customHeight="1" x14ac:dyDescent="0.15">
      <c r="A290" s="99"/>
      <c r="B290" s="36"/>
      <c r="C290" s="36"/>
      <c r="D290" s="36"/>
      <c r="E290" s="36"/>
      <c r="F290" s="36"/>
      <c r="G290" s="36"/>
      <c r="H290" s="36"/>
      <c r="I290" s="100"/>
    </row>
    <row r="291" spans="1:9" ht="22.5" customHeight="1" x14ac:dyDescent="0.15">
      <c r="A291" s="99"/>
      <c r="B291" s="36"/>
      <c r="C291" s="36"/>
      <c r="D291" s="36"/>
      <c r="E291" s="36"/>
      <c r="F291" s="36"/>
      <c r="G291" s="36"/>
      <c r="H291" s="36"/>
      <c r="I291" s="100"/>
    </row>
    <row r="292" spans="1:9" ht="22.5" customHeight="1" x14ac:dyDescent="0.15">
      <c r="A292" s="99" t="s">
        <v>366</v>
      </c>
      <c r="B292" s="36"/>
      <c r="C292" s="36"/>
      <c r="D292" s="36"/>
      <c r="E292" s="36"/>
      <c r="F292" s="36"/>
      <c r="G292" s="36"/>
      <c r="H292" s="36"/>
      <c r="I292" s="100"/>
    </row>
    <row r="293" spans="1:9" ht="22.5" customHeight="1" x14ac:dyDescent="0.15">
      <c r="A293" s="109" t="s">
        <v>247</v>
      </c>
      <c r="B293" s="90" t="s">
        <v>277</v>
      </c>
      <c r="C293" s="36"/>
      <c r="D293" s="36"/>
      <c r="E293" s="36"/>
      <c r="F293" s="36"/>
      <c r="G293" s="36"/>
      <c r="H293" s="36"/>
      <c r="I293" s="100"/>
    </row>
    <row r="294" spans="1:9" ht="22.5" customHeight="1" x14ac:dyDescent="0.15">
      <c r="A294" s="99"/>
      <c r="B294" s="90" t="s">
        <v>276</v>
      </c>
      <c r="C294" s="36"/>
      <c r="D294" s="36"/>
      <c r="E294" s="36"/>
      <c r="F294" s="36"/>
      <c r="G294" s="36"/>
      <c r="H294" s="36"/>
      <c r="I294" s="100"/>
    </row>
    <row r="295" spans="1:9" ht="22.5" customHeight="1" x14ac:dyDescent="0.15">
      <c r="A295" s="99"/>
      <c r="B295" s="90" t="s">
        <v>367</v>
      </c>
      <c r="C295" s="36"/>
      <c r="D295" s="36"/>
      <c r="E295" s="36"/>
      <c r="F295" s="36"/>
      <c r="G295" s="36"/>
      <c r="H295" s="36"/>
      <c r="I295" s="100"/>
    </row>
    <row r="296" spans="1:9" ht="22.5" customHeight="1" x14ac:dyDescent="0.15">
      <c r="A296" s="99"/>
      <c r="B296" s="90"/>
      <c r="C296" s="36"/>
      <c r="D296" s="36"/>
      <c r="E296" s="36"/>
      <c r="F296" s="36"/>
      <c r="G296" s="36"/>
      <c r="H296" s="36"/>
      <c r="I296" s="100"/>
    </row>
    <row r="297" spans="1:9" ht="22.5" customHeight="1" x14ac:dyDescent="0.15">
      <c r="A297" s="99"/>
      <c r="B297" s="90"/>
      <c r="C297" s="36"/>
      <c r="D297" s="36"/>
      <c r="E297" s="36"/>
      <c r="F297" s="36"/>
      <c r="G297" s="36"/>
      <c r="H297" s="36"/>
      <c r="I297" s="100"/>
    </row>
    <row r="298" spans="1:9" ht="22.5" customHeight="1" x14ac:dyDescent="0.15">
      <c r="A298" s="99"/>
      <c r="B298" s="36"/>
      <c r="C298" s="36"/>
      <c r="D298" s="36"/>
      <c r="E298" s="36"/>
      <c r="F298" s="36"/>
      <c r="G298" s="36"/>
      <c r="H298" s="36"/>
      <c r="I298" s="100"/>
    </row>
    <row r="299" spans="1:9" ht="22.5" customHeight="1" x14ac:dyDescent="0.15">
      <c r="A299" s="99"/>
      <c r="B299" s="36"/>
      <c r="C299" s="36"/>
      <c r="D299" s="36"/>
      <c r="E299" s="36"/>
      <c r="F299" s="36"/>
      <c r="G299" s="36"/>
      <c r="H299" s="36"/>
      <c r="I299" s="100"/>
    </row>
    <row r="300" spans="1:9" ht="22.5" customHeight="1" x14ac:dyDescent="0.15">
      <c r="A300" s="99"/>
      <c r="B300" s="36"/>
      <c r="C300" s="36"/>
      <c r="D300" s="36"/>
      <c r="E300" s="36"/>
      <c r="F300" s="36"/>
      <c r="G300" s="36"/>
      <c r="H300" s="36"/>
      <c r="I300" s="100"/>
    </row>
    <row r="301" spans="1:9" ht="22.5" customHeight="1" x14ac:dyDescent="0.15">
      <c r="A301" s="99"/>
      <c r="B301" s="36"/>
      <c r="C301" s="36"/>
      <c r="D301" s="36"/>
      <c r="E301" s="36"/>
      <c r="F301" s="36"/>
      <c r="G301" s="36"/>
      <c r="H301" s="36"/>
      <c r="I301" s="100"/>
    </row>
    <row r="302" spans="1:9" ht="22.5" customHeight="1" x14ac:dyDescent="0.15">
      <c r="A302" s="99"/>
      <c r="B302" s="36"/>
      <c r="C302" s="36"/>
      <c r="D302" s="36"/>
      <c r="E302" s="36"/>
      <c r="F302" s="36"/>
      <c r="G302" s="36"/>
      <c r="H302" s="36"/>
      <c r="I302" s="100"/>
    </row>
    <row r="303" spans="1:9" ht="22.5" customHeight="1" x14ac:dyDescent="0.15">
      <c r="A303" s="99"/>
      <c r="B303" s="36"/>
      <c r="C303" s="36"/>
      <c r="D303" s="36"/>
      <c r="E303" s="36"/>
      <c r="F303" s="36"/>
      <c r="G303" s="36"/>
      <c r="H303" s="36"/>
      <c r="I303" s="100"/>
    </row>
    <row r="304" spans="1:9" ht="22.5" customHeight="1" x14ac:dyDescent="0.15">
      <c r="A304" s="99"/>
      <c r="B304" s="36"/>
      <c r="C304" s="36"/>
      <c r="D304" s="36"/>
      <c r="E304" s="36"/>
      <c r="F304" s="36"/>
      <c r="G304" s="36"/>
      <c r="H304" s="36"/>
      <c r="I304" s="100"/>
    </row>
    <row r="305" spans="1:9" ht="22.5" customHeight="1" x14ac:dyDescent="0.15">
      <c r="A305" s="99"/>
      <c r="B305" s="36"/>
      <c r="C305" s="36"/>
      <c r="D305" s="36"/>
      <c r="E305" s="36"/>
      <c r="F305" s="36"/>
      <c r="G305" s="36"/>
      <c r="H305" s="36"/>
      <c r="I305" s="100"/>
    </row>
    <row r="306" spans="1:9" ht="22.5" customHeight="1" x14ac:dyDescent="0.15">
      <c r="A306" s="99"/>
      <c r="B306" s="36"/>
      <c r="C306" s="36"/>
      <c r="D306" s="36"/>
      <c r="E306" s="36"/>
      <c r="F306" s="36"/>
      <c r="G306" s="36"/>
      <c r="H306" s="36"/>
      <c r="I306" s="100"/>
    </row>
    <row r="307" spans="1:9" ht="22.5" customHeight="1" x14ac:dyDescent="0.15">
      <c r="A307" s="99"/>
      <c r="B307" s="36"/>
      <c r="C307" s="36"/>
      <c r="D307" s="36"/>
      <c r="E307" s="36"/>
      <c r="F307" s="36"/>
      <c r="G307" s="36"/>
      <c r="H307" s="36"/>
      <c r="I307" s="100"/>
    </row>
    <row r="308" spans="1:9" ht="22.5" customHeight="1" x14ac:dyDescent="0.15">
      <c r="A308" s="99"/>
      <c r="B308" s="36"/>
      <c r="C308" s="36"/>
      <c r="D308" s="36"/>
      <c r="E308" s="36"/>
      <c r="F308" s="36"/>
      <c r="G308" s="36"/>
      <c r="H308" s="36"/>
      <c r="I308" s="100"/>
    </row>
    <row r="309" spans="1:9" ht="22.5" customHeight="1" x14ac:dyDescent="0.15">
      <c r="A309" s="99"/>
      <c r="B309" s="36"/>
      <c r="C309" s="36"/>
      <c r="D309" s="36"/>
      <c r="E309" s="36"/>
      <c r="F309" s="36"/>
      <c r="G309" s="36"/>
      <c r="H309" s="36"/>
      <c r="I309" s="100"/>
    </row>
    <row r="310" spans="1:9" ht="22.5" customHeight="1" x14ac:dyDescent="0.15">
      <c r="A310" s="99"/>
      <c r="B310" s="36"/>
      <c r="C310" s="36"/>
      <c r="D310" s="36"/>
      <c r="E310" s="36"/>
      <c r="F310" s="36"/>
      <c r="G310" s="36"/>
      <c r="H310" s="36"/>
      <c r="I310" s="100"/>
    </row>
    <row r="311" spans="1:9" ht="22.5" customHeight="1" x14ac:dyDescent="0.15">
      <c r="A311" s="99"/>
      <c r="B311" s="36"/>
      <c r="C311" s="36"/>
      <c r="D311" s="36"/>
      <c r="E311" s="36"/>
      <c r="F311" s="36"/>
      <c r="G311" s="36"/>
      <c r="H311" s="36"/>
      <c r="I311" s="100"/>
    </row>
    <row r="312" spans="1:9" ht="22.5" customHeight="1" x14ac:dyDescent="0.15">
      <c r="A312" s="99"/>
      <c r="B312" s="36"/>
      <c r="C312" s="36"/>
      <c r="D312" s="36"/>
      <c r="E312" s="36"/>
      <c r="F312" s="36"/>
      <c r="G312" s="36"/>
      <c r="H312" s="36"/>
      <c r="I312" s="100"/>
    </row>
    <row r="313" spans="1:9" ht="22.5" customHeight="1" x14ac:dyDescent="0.15">
      <c r="A313" s="99"/>
      <c r="B313" s="36"/>
      <c r="C313" s="36"/>
      <c r="D313" s="36"/>
      <c r="E313" s="36"/>
      <c r="F313" s="36"/>
      <c r="G313" s="36"/>
      <c r="H313" s="36"/>
      <c r="I313" s="100"/>
    </row>
    <row r="314" spans="1:9" ht="22.5" customHeight="1" thickBot="1" x14ac:dyDescent="0.2">
      <c r="A314" s="101"/>
      <c r="B314" s="102"/>
      <c r="C314" s="102"/>
      <c r="D314" s="102"/>
      <c r="E314" s="102"/>
      <c r="F314" s="102"/>
      <c r="G314" s="102"/>
      <c r="H314" s="102"/>
      <c r="I314" s="103"/>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1" customWidth="1"/>
    <col min="2" max="4" width="10" style="21" customWidth="1"/>
    <col min="5" max="5" width="11.625" style="21" customWidth="1"/>
    <col min="6" max="6" width="10.75" style="21" customWidth="1"/>
    <col min="7" max="7" width="12.25" style="21" customWidth="1"/>
    <col min="8" max="8" width="12.75" style="21" customWidth="1"/>
    <col min="9" max="16384" width="9" style="21"/>
  </cols>
  <sheetData>
    <row r="1" spans="1:8" ht="22.5" customHeight="1" x14ac:dyDescent="0.15">
      <c r="A1" s="275" t="str">
        <f>管理者入力シート!B4</f>
        <v>永久津中学校区</v>
      </c>
      <c r="B1" s="275"/>
      <c r="C1" s="275"/>
      <c r="D1" s="274" t="s">
        <v>278</v>
      </c>
      <c r="E1" s="274"/>
      <c r="F1" s="274"/>
      <c r="G1" s="274"/>
      <c r="H1" s="274"/>
    </row>
    <row r="2" spans="1:8" ht="22.5" customHeight="1" x14ac:dyDescent="0.15">
      <c r="A2" s="275"/>
      <c r="B2" s="275"/>
      <c r="C2" s="275"/>
      <c r="D2" s="274"/>
      <c r="E2" s="274"/>
      <c r="F2" s="274"/>
      <c r="G2" s="274"/>
      <c r="H2" s="274"/>
    </row>
    <row r="3" spans="1:8" ht="22.5" customHeight="1" x14ac:dyDescent="0.15">
      <c r="A3" s="21" t="s">
        <v>279</v>
      </c>
    </row>
    <row r="5" spans="1:8" s="123" customFormat="1" ht="40.5" customHeight="1" x14ac:dyDescent="0.15">
      <c r="A5" s="116" t="s">
        <v>280</v>
      </c>
    </row>
    <row r="6" spans="1:8" ht="22.5" customHeight="1" x14ac:dyDescent="0.15">
      <c r="A6" s="273">
        <f>管理者用グラフシート!B6</f>
        <v>2020</v>
      </c>
      <c r="B6" s="273"/>
      <c r="C6" s="21" t="s">
        <v>419</v>
      </c>
    </row>
    <row r="7" spans="1:8" ht="22.5" customHeight="1" x14ac:dyDescent="0.15">
      <c r="A7" s="21" t="s">
        <v>281</v>
      </c>
      <c r="F7" s="305">
        <f>管理者用地域特徴シート!H5</f>
        <v>0.62716981132075467</v>
      </c>
      <c r="G7" s="305"/>
      <c r="H7" s="21" t="s">
        <v>282</v>
      </c>
    </row>
    <row r="8" spans="1:8" ht="22.5" customHeight="1" x14ac:dyDescent="0.15">
      <c r="A8" s="144" t="str">
        <f>管理者入力シート!B3</f>
        <v>小林市</v>
      </c>
      <c r="B8" s="21" t="s">
        <v>293</v>
      </c>
      <c r="D8" s="166" t="str">
        <f>IF(管理者用地域特徴シート!H5-管理者用地域特徴シート!H4&gt;0.01,"高く、",IF(管理者用地域特徴シート!H5-管理者用地域特徴シート!H4&lt;-0.01,"低く、","同程度で、"))</f>
        <v>高く、</v>
      </c>
    </row>
    <row r="9" spans="1:8" ht="22.5" customHeight="1" x14ac:dyDescent="0.15">
      <c r="A9" s="21" t="s">
        <v>284</v>
      </c>
      <c r="D9" s="14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1" t="s">
        <v>415</v>
      </c>
    </row>
    <row r="11" spans="1:8" ht="22.5" customHeight="1" x14ac:dyDescent="0.15">
      <c r="A11" s="307" t="str">
        <f>地域特徴シート!A1</f>
        <v>永久津中学校区</v>
      </c>
      <c r="B11" s="307"/>
      <c r="C11" s="308">
        <f>管理者用地域特徴シート!D5</f>
        <v>397.5</v>
      </c>
      <c r="D11" s="307"/>
      <c r="E11" s="21" t="s">
        <v>413</v>
      </c>
    </row>
    <row r="12" spans="1:8" ht="22.5" customHeight="1" x14ac:dyDescent="0.15">
      <c r="A12" s="307" t="str">
        <f>A8</f>
        <v>小林市</v>
      </c>
      <c r="B12" s="307"/>
      <c r="C12" s="308">
        <f>管理者用地域特徴シート!D4</f>
        <v>19074</v>
      </c>
      <c r="D12" s="307"/>
      <c r="E12" s="21" t="s">
        <v>413</v>
      </c>
    </row>
    <row r="13" spans="1:8" ht="22.5" customHeight="1" x14ac:dyDescent="0.15">
      <c r="A13" s="307" t="s">
        <v>414</v>
      </c>
      <c r="B13" s="307"/>
      <c r="C13" s="308">
        <f>管理者用地域特徴シート!D3</f>
        <v>468575.00000000006</v>
      </c>
      <c r="D13" s="307"/>
      <c r="E13" s="21" t="s">
        <v>416</v>
      </c>
    </row>
    <row r="23" spans="1:8" ht="22.5" customHeight="1" x14ac:dyDescent="0.15">
      <c r="A23" s="21" t="s">
        <v>285</v>
      </c>
      <c r="G23" s="264">
        <f>管理者用地域特徴シート!J5</f>
        <v>0.2</v>
      </c>
      <c r="H23" s="113" t="s">
        <v>286</v>
      </c>
    </row>
    <row r="24" spans="1:8" ht="22.5" customHeight="1" x14ac:dyDescent="0.15">
      <c r="A24" s="144" t="str">
        <f>管理者入力シート!B3</f>
        <v>小林市</v>
      </c>
      <c r="B24" s="21" t="s">
        <v>293</v>
      </c>
      <c r="D24" s="165" t="str">
        <f>IF(管理者用地域特徴シート!J5-管理者用地域特徴シート!J4&gt;0.01,"高く、",IF(管理者用地域特徴シート!J5-管理者用地域特徴シート!J4&lt;-0.01,"低く、","同程度で、"))</f>
        <v>高く、</v>
      </c>
    </row>
    <row r="25" spans="1:8" ht="22.5" customHeight="1" x14ac:dyDescent="0.15">
      <c r="A25" s="21" t="s">
        <v>284</v>
      </c>
      <c r="D25" s="144" t="str">
        <f>IF(管理者用地域特徴シート!J5-管理者用地域特徴シート!J3&gt;0.01,"高くなっています。",IF(管理者用地域特徴シート!J5-管理者用地域特徴シート!J3&lt;-0.01,"低くなっています。","同程度です。"))</f>
        <v>高くなっています。</v>
      </c>
    </row>
    <row r="35" spans="1:8" s="123" customFormat="1" ht="40.5" customHeight="1" x14ac:dyDescent="0.15">
      <c r="A35" s="116" t="s">
        <v>206</v>
      </c>
    </row>
    <row r="36" spans="1:8" ht="22.5" customHeight="1" x14ac:dyDescent="0.15">
      <c r="A36" s="273">
        <f>管理者用グラフシート!B36</f>
        <v>2020</v>
      </c>
      <c r="B36" s="273"/>
      <c r="C36" s="21" t="s">
        <v>420</v>
      </c>
    </row>
    <row r="37" spans="1:8" ht="22.5" customHeight="1" x14ac:dyDescent="0.15">
      <c r="A37" s="21" t="s">
        <v>287</v>
      </c>
      <c r="F37" s="305">
        <f>管理者用地域特徴シート!P5</f>
        <v>0.23843976093111041</v>
      </c>
      <c r="G37" s="305"/>
      <c r="H37" s="21" t="s">
        <v>286</v>
      </c>
    </row>
    <row r="38" spans="1:8" ht="22.5" customHeight="1" x14ac:dyDescent="0.15">
      <c r="A38" s="144" t="str">
        <f>管理者入力シート!B3</f>
        <v>小林市</v>
      </c>
      <c r="B38" s="21" t="s">
        <v>293</v>
      </c>
      <c r="D38" s="165" t="str">
        <f>IF(管理者用地域特徴シート!P5-管理者用地域特徴シート!P4&gt;0.01,"高く、",IF(管理者用地域特徴シート!P5-管理者用地域特徴シート!P4&lt;-0.01,"低く、","同程度で、"))</f>
        <v>低く、</v>
      </c>
    </row>
    <row r="39" spans="1:8" ht="22.5" customHeight="1" x14ac:dyDescent="0.15">
      <c r="A39" s="21" t="s">
        <v>284</v>
      </c>
      <c r="D39" s="14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144"/>
    </row>
    <row r="41" spans="1:8" ht="22.5" customHeight="1" x14ac:dyDescent="0.15">
      <c r="A41" s="144" t="str">
        <f>管理者入力シート!B3</f>
        <v>小林市</v>
      </c>
      <c r="B41" s="21" t="s">
        <v>294</v>
      </c>
      <c r="D41" s="14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1" t="s">
        <v>288</v>
      </c>
      <c r="D42" s="14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23" customFormat="1" ht="40.5" customHeight="1" x14ac:dyDescent="0.15">
      <c r="A69" s="116" t="s">
        <v>207</v>
      </c>
    </row>
    <row r="70" spans="1:8" ht="22.5" customHeight="1" x14ac:dyDescent="0.15">
      <c r="A70" s="95" t="s">
        <v>289</v>
      </c>
      <c r="B70" s="166"/>
      <c r="E70" s="306">
        <f>管理者用地域特徴シート!W5</f>
        <v>140.1</v>
      </c>
      <c r="F70" s="306"/>
      <c r="G70" s="21" t="s">
        <v>290</v>
      </c>
    </row>
    <row r="71" spans="1:8" ht="22.5" customHeight="1" x14ac:dyDescent="0.15">
      <c r="A71" s="21" t="s">
        <v>295</v>
      </c>
      <c r="F71" s="305">
        <f>管理者用地域特徴シート!AK5</f>
        <v>0.18843683083511778</v>
      </c>
      <c r="G71" s="305"/>
      <c r="H71" s="21" t="s">
        <v>271</v>
      </c>
    </row>
    <row r="72" spans="1:8" ht="22.5" customHeight="1" x14ac:dyDescent="0.15">
      <c r="A72" s="21" t="s">
        <v>296</v>
      </c>
      <c r="F72" s="305">
        <f>管理者用地域特徴シート!AL5</f>
        <v>0.12633832976445397</v>
      </c>
      <c r="G72" s="305"/>
      <c r="H72" s="21" t="s">
        <v>297</v>
      </c>
    </row>
    <row r="73" spans="1:8" ht="22.5" customHeight="1" x14ac:dyDescent="0.15">
      <c r="A73" s="21" t="s">
        <v>298</v>
      </c>
      <c r="E73" s="305"/>
      <c r="F73" s="305"/>
    </row>
    <row r="74" spans="1:8" ht="22.5" customHeight="1" x14ac:dyDescent="0.15">
      <c r="A74" s="21" t="s">
        <v>339</v>
      </c>
      <c r="C74" s="195">
        <f>管理者用地域特徴シート!AN5</f>
        <v>0.40899357601713054</v>
      </c>
      <c r="D74" s="170" t="s">
        <v>299</v>
      </c>
      <c r="E74" s="195">
        <f>管理者用地域特徴シート!AO5</f>
        <v>0.59100642398286951</v>
      </c>
      <c r="F74" s="21" t="s">
        <v>291</v>
      </c>
    </row>
    <row r="76" spans="1:8" ht="22.5" customHeight="1" x14ac:dyDescent="0.15">
      <c r="A76" s="144" t="str">
        <f>管理者入力シート!B3</f>
        <v>小林市</v>
      </c>
      <c r="B76" s="21" t="s">
        <v>294</v>
      </c>
      <c r="D76" s="14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1" t="s">
        <v>288</v>
      </c>
      <c r="D77" s="14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96" t="s">
        <v>368</v>
      </c>
      <c r="B96" s="97"/>
      <c r="C96" s="97"/>
      <c r="D96" s="97"/>
      <c r="E96" s="97"/>
      <c r="F96" s="97"/>
      <c r="G96" s="97"/>
      <c r="H96" s="98"/>
    </row>
    <row r="97" spans="1:8" ht="22.5" customHeight="1" x14ac:dyDescent="0.15">
      <c r="A97" s="99" t="s">
        <v>300</v>
      </c>
      <c r="B97" s="36"/>
      <c r="C97" s="36"/>
      <c r="D97" s="36"/>
      <c r="E97" s="36"/>
      <c r="F97" s="36"/>
      <c r="G97" s="36"/>
      <c r="H97" s="100"/>
    </row>
    <row r="98" spans="1:8" ht="22.5" customHeight="1" x14ac:dyDescent="0.15">
      <c r="A98" s="99"/>
      <c r="B98" s="36"/>
      <c r="C98" s="36"/>
      <c r="D98" s="36"/>
      <c r="E98" s="36"/>
      <c r="F98" s="36"/>
      <c r="G98" s="36"/>
      <c r="H98" s="100"/>
    </row>
    <row r="99" spans="1:8" ht="22.5" customHeight="1" x14ac:dyDescent="0.15">
      <c r="A99" s="99"/>
      <c r="B99" s="36"/>
      <c r="C99" s="36"/>
      <c r="D99" s="36"/>
      <c r="E99" s="36"/>
      <c r="F99" s="36"/>
      <c r="G99" s="36"/>
      <c r="H99" s="100"/>
    </row>
    <row r="100" spans="1:8" ht="22.5" customHeight="1" x14ac:dyDescent="0.15">
      <c r="A100" s="99"/>
      <c r="B100" s="36"/>
      <c r="C100" s="36"/>
      <c r="D100" s="36"/>
      <c r="E100" s="36"/>
      <c r="F100" s="36"/>
      <c r="G100" s="36"/>
      <c r="H100" s="100"/>
    </row>
    <row r="101" spans="1:8" ht="22.5" customHeight="1" x14ac:dyDescent="0.15">
      <c r="A101" s="99"/>
      <c r="B101" s="36"/>
      <c r="C101" s="36"/>
      <c r="D101" s="36"/>
      <c r="E101" s="36"/>
      <c r="F101" s="36"/>
      <c r="G101" s="36"/>
      <c r="H101" s="100"/>
    </row>
    <row r="102" spans="1:8" ht="22.5" customHeight="1" thickBot="1" x14ac:dyDescent="0.2">
      <c r="A102" s="101"/>
      <c r="B102" s="102"/>
      <c r="C102" s="102"/>
      <c r="D102" s="102"/>
      <c r="E102" s="102"/>
      <c r="F102" s="102"/>
      <c r="G102" s="102"/>
      <c r="H102" s="103"/>
    </row>
    <row r="103" spans="1:8" s="123" customFormat="1" ht="40.5" customHeight="1" x14ac:dyDescent="0.15">
      <c r="A103" s="116" t="s">
        <v>208</v>
      </c>
    </row>
    <row r="104" spans="1:8" ht="22.5" customHeight="1" x14ac:dyDescent="0.15">
      <c r="A104" s="273">
        <f>管理者入力シート!B5</f>
        <v>2020</v>
      </c>
      <c r="B104" s="273"/>
      <c r="C104" s="21" t="s">
        <v>421</v>
      </c>
    </row>
    <row r="105" spans="1:8" ht="22.5" customHeight="1" x14ac:dyDescent="0.15">
      <c r="A105" s="21" t="s">
        <v>340</v>
      </c>
      <c r="F105" s="171"/>
      <c r="G105" s="171"/>
    </row>
    <row r="128" ht="22.5" customHeight="1" thickBot="1" x14ac:dyDescent="0.2"/>
    <row r="129" spans="1:8" ht="22.5" customHeight="1" x14ac:dyDescent="0.15">
      <c r="A129" s="218" t="s">
        <v>369</v>
      </c>
      <c r="B129" s="97"/>
      <c r="C129" s="97"/>
      <c r="D129" s="97"/>
      <c r="E129" s="97"/>
      <c r="F129" s="97"/>
      <c r="G129" s="97"/>
      <c r="H129" s="98"/>
    </row>
    <row r="130" spans="1:8" ht="22.5" customHeight="1" x14ac:dyDescent="0.15">
      <c r="A130" s="99" t="s">
        <v>313</v>
      </c>
      <c r="B130" s="36"/>
      <c r="C130" s="36"/>
      <c r="D130" s="36"/>
      <c r="E130" s="36"/>
      <c r="F130" s="36"/>
      <c r="G130" s="36"/>
      <c r="H130" s="100"/>
    </row>
    <row r="131" spans="1:8" ht="22.5" customHeight="1" x14ac:dyDescent="0.15">
      <c r="A131" s="99"/>
      <c r="B131" s="36"/>
      <c r="C131" s="36"/>
      <c r="D131" s="36"/>
      <c r="E131" s="36"/>
      <c r="F131" s="36"/>
      <c r="G131" s="36"/>
      <c r="H131" s="100"/>
    </row>
    <row r="132" spans="1:8" ht="22.5" customHeight="1" x14ac:dyDescent="0.15">
      <c r="A132" s="99"/>
      <c r="B132" s="36"/>
      <c r="C132" s="36"/>
      <c r="D132" s="36"/>
      <c r="E132" s="36"/>
      <c r="F132" s="36"/>
      <c r="G132" s="36"/>
      <c r="H132" s="100"/>
    </row>
    <row r="133" spans="1:8" ht="22.5" customHeight="1" x14ac:dyDescent="0.15">
      <c r="A133" s="99"/>
      <c r="B133" s="36"/>
      <c r="C133" s="36"/>
      <c r="D133" s="36"/>
      <c r="E133" s="36"/>
      <c r="F133" s="36"/>
      <c r="G133" s="36"/>
      <c r="H133" s="100"/>
    </row>
    <row r="134" spans="1:8" ht="22.5" customHeight="1" x14ac:dyDescent="0.15">
      <c r="A134" s="99"/>
      <c r="B134" s="36"/>
      <c r="C134" s="36"/>
      <c r="D134" s="36"/>
      <c r="E134" s="36"/>
      <c r="F134" s="36"/>
      <c r="G134" s="36"/>
      <c r="H134" s="100"/>
    </row>
    <row r="135" spans="1:8" ht="22.5" customHeight="1" thickBot="1" x14ac:dyDescent="0.2">
      <c r="A135" s="101"/>
      <c r="B135" s="102"/>
      <c r="C135" s="102"/>
      <c r="D135" s="102"/>
      <c r="E135" s="102"/>
      <c r="F135" s="102"/>
      <c r="G135" s="102"/>
      <c r="H135" s="103"/>
    </row>
    <row r="137" spans="1:8" s="123" customFormat="1" ht="40.5" customHeight="1" x14ac:dyDescent="0.15">
      <c r="A137" s="116" t="s">
        <v>314</v>
      </c>
    </row>
    <row r="138" spans="1:8" ht="22.5" customHeight="1" x14ac:dyDescent="0.15">
      <c r="A138" s="273">
        <f>管理者入力シート!B5</f>
        <v>2020</v>
      </c>
      <c r="B138" s="273"/>
      <c r="C138" s="21" t="s">
        <v>422</v>
      </c>
    </row>
    <row r="139" spans="1:8" ht="22.5" customHeight="1" x14ac:dyDescent="0.15">
      <c r="A139" s="21" t="s">
        <v>315</v>
      </c>
      <c r="C139" s="305">
        <f>管理者用地域特徴シート!CK5</f>
        <v>0.81778334376956785</v>
      </c>
      <c r="D139" s="305"/>
      <c r="E139" s="21" t="s">
        <v>316</v>
      </c>
      <c r="F139" s="171" t="str">
        <f>管理者入力シート!B3</f>
        <v>小林市</v>
      </c>
      <c r="G139" s="172" t="s">
        <v>317</v>
      </c>
    </row>
    <row r="140" spans="1:8" ht="22.5" customHeight="1" x14ac:dyDescent="0.15">
      <c r="A140" s="21" t="s">
        <v>318</v>
      </c>
    </row>
    <row r="141" spans="1:8" ht="22.5" customHeight="1" x14ac:dyDescent="0.15">
      <c r="C141" s="305">
        <f>管理者用地域特徴シート!CN5</f>
        <v>0.70909090909090899</v>
      </c>
      <c r="D141" s="305"/>
      <c r="E141" s="21" t="s">
        <v>316</v>
      </c>
      <c r="F141" s="171" t="str">
        <f>管理者入力シート!B3</f>
        <v>小林市</v>
      </c>
      <c r="G141" s="172" t="s">
        <v>317</v>
      </c>
    </row>
    <row r="142" spans="1:8" ht="22.5" customHeight="1" x14ac:dyDescent="0.15">
      <c r="A142" s="309" t="s">
        <v>319</v>
      </c>
      <c r="B142" s="309"/>
      <c r="C142" s="309"/>
      <c r="D142" s="309"/>
      <c r="E142" s="309"/>
      <c r="F142" s="309"/>
      <c r="G142" s="309"/>
      <c r="H142" s="309"/>
    </row>
    <row r="160" ht="22.5" customHeight="1" thickBot="1" x14ac:dyDescent="0.2"/>
    <row r="161" spans="1:8" ht="22.5" customHeight="1" x14ac:dyDescent="0.15">
      <c r="A161" s="96" t="s">
        <v>370</v>
      </c>
      <c r="B161" s="97"/>
      <c r="C161" s="97"/>
      <c r="D161" s="97"/>
      <c r="E161" s="97"/>
      <c r="F161" s="97"/>
      <c r="G161" s="97"/>
      <c r="H161" s="98"/>
    </row>
    <row r="162" spans="1:8" ht="22.5" customHeight="1" x14ac:dyDescent="0.15">
      <c r="A162" s="99" t="s">
        <v>321</v>
      </c>
      <c r="B162" s="36"/>
      <c r="C162" s="36"/>
      <c r="D162" s="36"/>
      <c r="E162" s="36"/>
      <c r="F162" s="36"/>
      <c r="G162" s="36"/>
      <c r="H162" s="100"/>
    </row>
    <row r="163" spans="1:8" ht="22.5" customHeight="1" x14ac:dyDescent="0.15">
      <c r="A163" s="99" t="s">
        <v>320</v>
      </c>
      <c r="B163" s="36"/>
      <c r="C163" s="36"/>
      <c r="D163" s="36"/>
      <c r="E163" s="36"/>
      <c r="F163" s="36"/>
      <c r="G163" s="36"/>
      <c r="H163" s="100"/>
    </row>
    <row r="164" spans="1:8" ht="22.5" customHeight="1" x14ac:dyDescent="0.15">
      <c r="A164" s="99"/>
      <c r="B164" s="36"/>
      <c r="C164" s="36"/>
      <c r="D164" s="36"/>
      <c r="E164" s="36"/>
      <c r="F164" s="36"/>
      <c r="G164" s="36"/>
      <c r="H164" s="100"/>
    </row>
    <row r="165" spans="1:8" ht="22.5" customHeight="1" x14ac:dyDescent="0.15">
      <c r="A165" s="99"/>
      <c r="B165" s="36"/>
      <c r="C165" s="36"/>
      <c r="D165" s="36"/>
      <c r="E165" s="36"/>
      <c r="F165" s="36"/>
      <c r="G165" s="36"/>
      <c r="H165" s="100"/>
    </row>
    <row r="166" spans="1:8" ht="22.5" customHeight="1" x14ac:dyDescent="0.15">
      <c r="A166" s="99"/>
      <c r="B166" s="36"/>
      <c r="C166" s="36"/>
      <c r="D166" s="36"/>
      <c r="E166" s="36"/>
      <c r="F166" s="36"/>
      <c r="G166" s="36"/>
      <c r="H166" s="100"/>
    </row>
    <row r="167" spans="1:8" ht="22.5" customHeight="1" x14ac:dyDescent="0.15">
      <c r="A167" s="99"/>
      <c r="B167" s="36"/>
      <c r="C167" s="36"/>
      <c r="D167" s="36"/>
      <c r="E167" s="36"/>
      <c r="F167" s="36"/>
      <c r="G167" s="36"/>
      <c r="H167" s="100"/>
    </row>
    <row r="168" spans="1:8" ht="22.5" customHeight="1" x14ac:dyDescent="0.15">
      <c r="A168" s="99"/>
      <c r="B168" s="36"/>
      <c r="C168" s="36"/>
      <c r="D168" s="36"/>
      <c r="E168" s="36"/>
      <c r="F168" s="36"/>
      <c r="G168" s="36"/>
      <c r="H168" s="100"/>
    </row>
    <row r="169" spans="1:8" ht="22.5" customHeight="1" x14ac:dyDescent="0.15">
      <c r="A169" s="99"/>
      <c r="B169" s="36"/>
      <c r="C169" s="36"/>
      <c r="D169" s="36"/>
      <c r="E169" s="36"/>
      <c r="F169" s="36"/>
      <c r="G169" s="36"/>
      <c r="H169" s="100"/>
    </row>
    <row r="170" spans="1:8" ht="22.5" customHeight="1" thickBot="1" x14ac:dyDescent="0.2">
      <c r="A170" s="101"/>
      <c r="B170" s="102"/>
      <c r="C170" s="102"/>
      <c r="D170" s="102"/>
      <c r="E170" s="102"/>
      <c r="F170" s="102"/>
      <c r="G170" s="102"/>
      <c r="H170" s="103"/>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1" customWidth="1"/>
    <col min="2" max="5" width="10" style="21" customWidth="1"/>
    <col min="6" max="6" width="10.75" style="21" customWidth="1"/>
    <col min="7" max="7" width="12.25" style="21" customWidth="1"/>
    <col min="8" max="8" width="14.625" style="21" customWidth="1"/>
    <col min="9" max="16384" width="9" style="21"/>
  </cols>
  <sheetData>
    <row r="1" spans="1:8" ht="22.5" customHeight="1" x14ac:dyDescent="0.15">
      <c r="A1" s="116" t="s">
        <v>331</v>
      </c>
      <c r="B1" s="185"/>
      <c r="C1" s="185"/>
      <c r="D1" s="95"/>
      <c r="E1" s="95"/>
      <c r="F1" s="95"/>
      <c r="G1" s="95"/>
      <c r="H1" s="95"/>
    </row>
    <row r="2" spans="1:8" ht="22.5" customHeight="1" x14ac:dyDescent="0.15">
      <c r="A2" s="185"/>
      <c r="B2" s="185"/>
      <c r="C2" s="185"/>
      <c r="D2" s="95"/>
      <c r="E2" s="95"/>
      <c r="F2" s="95"/>
      <c r="G2" s="95"/>
      <c r="H2" s="95"/>
    </row>
    <row r="3" spans="1:8" ht="22.5" customHeight="1" x14ac:dyDescent="0.15">
      <c r="A3" s="21" t="s">
        <v>332</v>
      </c>
    </row>
    <row r="4" spans="1:8" ht="22.5" customHeight="1" x14ac:dyDescent="0.15">
      <c r="A4" s="21" t="s">
        <v>335</v>
      </c>
    </row>
    <row r="5" spans="1:8" s="123" customFormat="1" ht="23.25" customHeight="1" thickBot="1" x14ac:dyDescent="0.2">
      <c r="A5" s="102" t="s">
        <v>334</v>
      </c>
      <c r="B5" s="192"/>
      <c r="C5" s="192"/>
      <c r="D5" s="192"/>
      <c r="E5" s="192"/>
      <c r="F5" s="192"/>
      <c r="G5" s="192"/>
      <c r="H5" s="192"/>
    </row>
    <row r="6" spans="1:8" ht="22.5" customHeight="1" x14ac:dyDescent="0.15">
      <c r="A6" s="190"/>
      <c r="B6" s="191"/>
      <c r="C6" s="97"/>
      <c r="D6" s="97"/>
      <c r="E6" s="97"/>
      <c r="F6" s="97"/>
      <c r="G6" s="97"/>
      <c r="H6" s="98"/>
    </row>
    <row r="7" spans="1:8" ht="22.5" customHeight="1" x14ac:dyDescent="0.15">
      <c r="A7" s="99"/>
      <c r="B7" s="36"/>
      <c r="C7" s="36"/>
      <c r="D7" s="36"/>
      <c r="E7" s="36"/>
      <c r="F7" s="186"/>
      <c r="G7" s="186"/>
      <c r="H7" s="100"/>
    </row>
    <row r="8" spans="1:8" ht="22.5" customHeight="1" x14ac:dyDescent="0.15">
      <c r="A8" s="187"/>
      <c r="B8" s="36"/>
      <c r="C8" s="36"/>
      <c r="D8" s="121"/>
      <c r="E8" s="36"/>
      <c r="F8" s="36"/>
      <c r="G8" s="36"/>
      <c r="H8" s="100"/>
    </row>
    <row r="9" spans="1:8" ht="22.5" customHeight="1" x14ac:dyDescent="0.15">
      <c r="A9" s="99"/>
      <c r="B9" s="36"/>
      <c r="C9" s="36"/>
      <c r="D9" s="35"/>
      <c r="E9" s="36"/>
      <c r="F9" s="36"/>
      <c r="G9" s="36"/>
      <c r="H9" s="100"/>
    </row>
    <row r="10" spans="1:8" ht="22.5" customHeight="1" x14ac:dyDescent="0.15">
      <c r="A10" s="99"/>
      <c r="B10" s="36"/>
      <c r="C10" s="36"/>
      <c r="D10" s="36"/>
      <c r="E10" s="36"/>
      <c r="F10" s="36"/>
      <c r="G10" s="36"/>
      <c r="H10" s="100"/>
    </row>
    <row r="11" spans="1:8" ht="22.5" customHeight="1" x14ac:dyDescent="0.15">
      <c r="A11" s="99"/>
      <c r="B11" s="36"/>
      <c r="C11" s="36"/>
      <c r="D11" s="36"/>
      <c r="E11" s="36"/>
      <c r="F11" s="36"/>
      <c r="G11" s="36"/>
      <c r="H11" s="100"/>
    </row>
    <row r="12" spans="1:8" ht="22.5" customHeight="1" x14ac:dyDescent="0.15">
      <c r="A12" s="99"/>
      <c r="B12" s="36"/>
      <c r="C12" s="36"/>
      <c r="D12" s="36"/>
      <c r="E12" s="36"/>
      <c r="F12" s="36"/>
      <c r="G12" s="36"/>
      <c r="H12" s="100"/>
    </row>
    <row r="13" spans="1:8" ht="22.5" customHeight="1" x14ac:dyDescent="0.15">
      <c r="A13" s="99"/>
      <c r="B13" s="36"/>
      <c r="C13" s="36"/>
      <c r="D13" s="36"/>
      <c r="E13" s="36"/>
      <c r="F13" s="36"/>
      <c r="G13" s="36"/>
      <c r="H13" s="100"/>
    </row>
    <row r="14" spans="1:8" ht="22.5" customHeight="1" x14ac:dyDescent="0.15">
      <c r="A14" s="99"/>
      <c r="B14" s="36"/>
      <c r="C14" s="36"/>
      <c r="D14" s="36"/>
      <c r="E14" s="36"/>
      <c r="F14" s="36"/>
      <c r="G14" s="36"/>
      <c r="H14" s="100"/>
    </row>
    <row r="15" spans="1:8" ht="22.5" customHeight="1" x14ac:dyDescent="0.15">
      <c r="A15" s="99"/>
      <c r="B15" s="36"/>
      <c r="C15" s="36"/>
      <c r="D15" s="36"/>
      <c r="E15" s="36"/>
      <c r="F15" s="36"/>
      <c r="G15" s="36"/>
      <c r="H15" s="100"/>
    </row>
    <row r="16" spans="1:8" ht="22.5" customHeight="1" x14ac:dyDescent="0.15">
      <c r="A16" s="99"/>
      <c r="B16" s="36"/>
      <c r="C16" s="36"/>
      <c r="D16" s="36"/>
      <c r="E16" s="36"/>
      <c r="F16" s="36"/>
      <c r="G16" s="36"/>
      <c r="H16" s="100"/>
    </row>
    <row r="17" spans="1:8" ht="22.5" customHeight="1" thickBot="1" x14ac:dyDescent="0.2">
      <c r="A17" s="101"/>
      <c r="B17" s="102"/>
      <c r="C17" s="102"/>
      <c r="D17" s="102"/>
      <c r="E17" s="102"/>
      <c r="F17" s="102"/>
      <c r="G17" s="102"/>
      <c r="H17" s="103"/>
    </row>
    <row r="19" spans="1:8" ht="22.5" customHeight="1" x14ac:dyDescent="0.15">
      <c r="A19" s="21" t="s">
        <v>336</v>
      </c>
    </row>
    <row r="20" spans="1:8" ht="22.5" customHeight="1" thickBot="1" x14ac:dyDescent="0.2">
      <c r="A20" s="21" t="s">
        <v>333</v>
      </c>
      <c r="G20" s="164"/>
      <c r="H20" s="122"/>
    </row>
    <row r="21" spans="1:8" ht="22.5" customHeight="1" x14ac:dyDescent="0.15">
      <c r="A21" s="188"/>
      <c r="B21" s="97"/>
      <c r="C21" s="97"/>
      <c r="D21" s="189"/>
      <c r="E21" s="97"/>
      <c r="F21" s="97"/>
      <c r="G21" s="97"/>
      <c r="H21" s="98"/>
    </row>
    <row r="22" spans="1:8" ht="22.5" customHeight="1" x14ac:dyDescent="0.15">
      <c r="A22" s="99"/>
      <c r="B22" s="36"/>
      <c r="C22" s="36"/>
      <c r="D22" s="35"/>
      <c r="E22" s="36"/>
      <c r="F22" s="36"/>
      <c r="G22" s="36"/>
      <c r="H22" s="100"/>
    </row>
    <row r="23" spans="1:8" ht="22.5" customHeight="1" x14ac:dyDescent="0.15">
      <c r="A23" s="99"/>
      <c r="B23" s="36"/>
      <c r="C23" s="36"/>
      <c r="D23" s="36"/>
      <c r="E23" s="36"/>
      <c r="F23" s="36"/>
      <c r="G23" s="36"/>
      <c r="H23" s="100"/>
    </row>
    <row r="24" spans="1:8" ht="22.5" customHeight="1" x14ac:dyDescent="0.15">
      <c r="A24" s="99"/>
      <c r="B24" s="36"/>
      <c r="C24" s="36"/>
      <c r="D24" s="36"/>
      <c r="E24" s="36"/>
      <c r="F24" s="36"/>
      <c r="G24" s="36"/>
      <c r="H24" s="100"/>
    </row>
    <row r="25" spans="1:8" ht="22.5" customHeight="1" x14ac:dyDescent="0.15">
      <c r="A25" s="99"/>
      <c r="B25" s="36"/>
      <c r="C25" s="36"/>
      <c r="D25" s="36"/>
      <c r="E25" s="36"/>
      <c r="F25" s="36"/>
      <c r="G25" s="36"/>
      <c r="H25" s="100"/>
    </row>
    <row r="26" spans="1:8" ht="22.5" customHeight="1" x14ac:dyDescent="0.15">
      <c r="A26" s="99"/>
      <c r="B26" s="36"/>
      <c r="C26" s="36"/>
      <c r="D26" s="36"/>
      <c r="E26" s="36"/>
      <c r="F26" s="36"/>
      <c r="G26" s="36"/>
      <c r="H26" s="100"/>
    </row>
    <row r="27" spans="1:8" ht="22.5" customHeight="1" x14ac:dyDescent="0.15">
      <c r="A27" s="99"/>
      <c r="B27" s="36"/>
      <c r="C27" s="36"/>
      <c r="D27" s="36"/>
      <c r="E27" s="36"/>
      <c r="F27" s="36"/>
      <c r="G27" s="36"/>
      <c r="H27" s="100"/>
    </row>
    <row r="28" spans="1:8" ht="22.5" customHeight="1" x14ac:dyDescent="0.15">
      <c r="A28" s="99"/>
      <c r="B28" s="36"/>
      <c r="C28" s="36"/>
      <c r="D28" s="36"/>
      <c r="E28" s="36"/>
      <c r="F28" s="36"/>
      <c r="G28" s="36"/>
      <c r="H28" s="100"/>
    </row>
    <row r="29" spans="1:8" ht="22.5" customHeight="1" x14ac:dyDescent="0.15">
      <c r="A29" s="99"/>
      <c r="B29" s="36"/>
      <c r="C29" s="36"/>
      <c r="D29" s="36"/>
      <c r="E29" s="36"/>
      <c r="F29" s="36"/>
      <c r="G29" s="36"/>
      <c r="H29" s="100"/>
    </row>
    <row r="30" spans="1:8" ht="22.5" customHeight="1" x14ac:dyDescent="0.15">
      <c r="A30" s="99"/>
      <c r="B30" s="36"/>
      <c r="C30" s="36"/>
      <c r="D30" s="36"/>
      <c r="E30" s="36"/>
      <c r="F30" s="36"/>
      <c r="G30" s="36"/>
      <c r="H30" s="100"/>
    </row>
    <row r="31" spans="1:8" ht="22.5" customHeight="1" x14ac:dyDescent="0.15">
      <c r="A31" s="99"/>
      <c r="B31" s="36"/>
      <c r="C31" s="36"/>
      <c r="D31" s="36"/>
      <c r="E31" s="36"/>
      <c r="F31" s="36"/>
      <c r="G31" s="36"/>
      <c r="H31" s="100"/>
    </row>
    <row r="32" spans="1:8" ht="22.5" customHeight="1" x14ac:dyDescent="0.15">
      <c r="A32" s="99"/>
      <c r="B32" s="36"/>
      <c r="C32" s="36"/>
      <c r="D32" s="36"/>
      <c r="E32" s="36"/>
      <c r="F32" s="36"/>
      <c r="G32" s="36"/>
      <c r="H32" s="100"/>
    </row>
    <row r="33" spans="1:8" ht="22.5" customHeight="1" x14ac:dyDescent="0.15">
      <c r="A33" s="99"/>
      <c r="B33" s="36"/>
      <c r="C33" s="36"/>
      <c r="D33" s="36"/>
      <c r="E33" s="36"/>
      <c r="F33" s="36"/>
      <c r="G33" s="36"/>
      <c r="H33" s="100"/>
    </row>
    <row r="34" spans="1:8" ht="22.5" customHeight="1" thickBot="1" x14ac:dyDescent="0.2">
      <c r="A34" s="101"/>
      <c r="B34" s="102"/>
      <c r="C34" s="102"/>
      <c r="D34" s="102"/>
      <c r="E34" s="102"/>
      <c r="F34" s="102"/>
      <c r="G34" s="102"/>
      <c r="H34" s="103"/>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20" t="s">
        <v>52</v>
      </c>
      <c r="B1" s="20" t="s">
        <v>53</v>
      </c>
    </row>
    <row r="2" spans="1:3" x14ac:dyDescent="0.15">
      <c r="A2" s="169" t="s">
        <v>376</v>
      </c>
      <c r="B2" s="32" t="s">
        <v>445</v>
      </c>
    </row>
    <row r="3" spans="1:3" x14ac:dyDescent="0.15">
      <c r="A3" s="222" t="s">
        <v>292</v>
      </c>
      <c r="B3" s="33" t="str">
        <f>管理者用地域特徴シート!B5</f>
        <v>小林市</v>
      </c>
    </row>
    <row r="4" spans="1:3" x14ac:dyDescent="0.15">
      <c r="A4" s="167" t="s">
        <v>24</v>
      </c>
      <c r="B4" s="168" t="str">
        <f>管理者用地域特徴シート!C5</f>
        <v>永久津中学校区</v>
      </c>
    </row>
    <row r="5" spans="1:3" x14ac:dyDescent="0.15">
      <c r="A5" s="23" t="s">
        <v>55</v>
      </c>
      <c r="B5" s="33">
        <v>2020</v>
      </c>
    </row>
    <row r="6" spans="1:3" x14ac:dyDescent="0.15">
      <c r="A6" s="23" t="s">
        <v>57</v>
      </c>
      <c r="B6" s="33">
        <f>B5-5</f>
        <v>2015</v>
      </c>
    </row>
    <row r="7" spans="1:3" x14ac:dyDescent="0.15">
      <c r="A7" s="23" t="s">
        <v>58</v>
      </c>
      <c r="B7" s="33">
        <f>B5-10</f>
        <v>2010</v>
      </c>
    </row>
    <row r="8" spans="1:3" x14ac:dyDescent="0.15">
      <c r="A8" s="23" t="s">
        <v>93</v>
      </c>
      <c r="B8" s="33">
        <f>B5+5</f>
        <v>2025</v>
      </c>
      <c r="C8" s="2" t="s">
        <v>100</v>
      </c>
    </row>
    <row r="9" spans="1:3" x14ac:dyDescent="0.15">
      <c r="A9" s="23" t="s">
        <v>94</v>
      </c>
      <c r="B9" s="33">
        <f>B5+10</f>
        <v>2030</v>
      </c>
      <c r="C9" s="2" t="s">
        <v>101</v>
      </c>
    </row>
    <row r="10" spans="1:3" x14ac:dyDescent="0.15">
      <c r="A10" s="23" t="s">
        <v>95</v>
      </c>
      <c r="B10" s="33">
        <f>B5+15</f>
        <v>2035</v>
      </c>
      <c r="C10" s="2" t="s">
        <v>102</v>
      </c>
    </row>
    <row r="11" spans="1:3" x14ac:dyDescent="0.15">
      <c r="A11" s="23" t="s">
        <v>96</v>
      </c>
      <c r="B11" s="33">
        <f>B5+20</f>
        <v>2040</v>
      </c>
      <c r="C11" s="2" t="s">
        <v>103</v>
      </c>
    </row>
    <row r="12" spans="1:3" x14ac:dyDescent="0.15">
      <c r="A12" s="23" t="s">
        <v>259</v>
      </c>
      <c r="B12" s="33">
        <f>B5+25</f>
        <v>2045</v>
      </c>
      <c r="C12" s="2" t="s">
        <v>261</v>
      </c>
    </row>
    <row r="13" spans="1:3" x14ac:dyDescent="0.15">
      <c r="A13" s="23" t="s">
        <v>260</v>
      </c>
      <c r="B13" s="33">
        <f>B5+30</f>
        <v>2050</v>
      </c>
      <c r="C13" s="2" t="s">
        <v>262</v>
      </c>
    </row>
    <row r="14" spans="1:3" x14ac:dyDescent="0.15">
      <c r="A14" s="23" t="s">
        <v>98</v>
      </c>
      <c r="B14" s="33">
        <v>2</v>
      </c>
      <c r="C14" s="2" t="s">
        <v>99</v>
      </c>
    </row>
    <row r="15" spans="1:3" x14ac:dyDescent="0.15">
      <c r="A15" s="23"/>
      <c r="B15" s="33"/>
    </row>
    <row r="16" spans="1:3" x14ac:dyDescent="0.15">
      <c r="A16" s="23"/>
      <c r="B16" s="33"/>
    </row>
    <row r="17" spans="1:2" x14ac:dyDescent="0.15">
      <c r="A17" s="23"/>
      <c r="B17" s="33"/>
    </row>
    <row r="18" spans="1:2" x14ac:dyDescent="0.15">
      <c r="A18" s="23"/>
      <c r="B18" s="33"/>
    </row>
    <row r="19" spans="1:2" x14ac:dyDescent="0.15">
      <c r="A19" s="23"/>
      <c r="B19" s="33"/>
    </row>
    <row r="20" spans="1:2" x14ac:dyDescent="0.15">
      <c r="A20" s="23"/>
      <c r="B20" s="33"/>
    </row>
    <row r="21" spans="1:2" x14ac:dyDescent="0.15">
      <c r="A21" s="23"/>
      <c r="B21" s="33"/>
    </row>
    <row r="22" spans="1:2" x14ac:dyDescent="0.15">
      <c r="A22" s="23"/>
      <c r="B22" s="33"/>
    </row>
    <row r="23" spans="1:2" x14ac:dyDescent="0.15">
      <c r="A23" s="23"/>
      <c r="B23" s="33"/>
    </row>
    <row r="24" spans="1:2" x14ac:dyDescent="0.15">
      <c r="A24" s="23"/>
      <c r="B24" s="33"/>
    </row>
    <row r="25" spans="1:2" x14ac:dyDescent="0.15">
      <c r="A25" s="23"/>
      <c r="B25" s="33"/>
    </row>
    <row r="26" spans="1:2" x14ac:dyDescent="0.15">
      <c r="A26" s="23"/>
      <c r="B26" s="33"/>
    </row>
    <row r="27" spans="1:2" x14ac:dyDescent="0.15">
      <c r="A27" s="23"/>
      <c r="B27" s="33"/>
    </row>
    <row r="28" spans="1:2" x14ac:dyDescent="0.15">
      <c r="A28" s="23"/>
      <c r="B28" s="33"/>
    </row>
    <row r="29" spans="1:2" x14ac:dyDescent="0.15">
      <c r="A29" s="23"/>
      <c r="B29" s="33"/>
    </row>
    <row r="30" spans="1:2" x14ac:dyDescent="0.15">
      <c r="A30" s="23"/>
      <c r="B30" s="33"/>
    </row>
    <row r="31" spans="1:2" x14ac:dyDescent="0.15">
      <c r="A31" s="23"/>
      <c r="B31" s="33"/>
    </row>
    <row r="32" spans="1:2" x14ac:dyDescent="0.15">
      <c r="A32" s="23"/>
      <c r="B32" s="33"/>
    </row>
    <row r="33" spans="1:2" x14ac:dyDescent="0.15">
      <c r="A33" s="23"/>
      <c r="B33" s="33"/>
    </row>
    <row r="34" spans="1:2" x14ac:dyDescent="0.15">
      <c r="A34" s="23"/>
      <c r="B34" s="33"/>
    </row>
    <row r="35" spans="1:2" x14ac:dyDescent="0.15">
      <c r="A35" s="23"/>
      <c r="B35" s="33"/>
    </row>
    <row r="36" spans="1:2" x14ac:dyDescent="0.15">
      <c r="A36" s="23"/>
      <c r="B36" s="33"/>
    </row>
    <row r="37" spans="1:2" x14ac:dyDescent="0.15">
      <c r="A37" s="23"/>
      <c r="B37" s="33"/>
    </row>
    <row r="38" spans="1:2" x14ac:dyDescent="0.15">
      <c r="A38" s="23"/>
      <c r="B38" s="33"/>
    </row>
    <row r="39" spans="1:2" x14ac:dyDescent="0.15">
      <c r="A39" s="24"/>
      <c r="B39" s="34"/>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60"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60" customWidth="1"/>
    <col min="61" max="91" width="9" style="2"/>
    <col min="92" max="92" width="1.625" style="2" customWidth="1"/>
    <col min="93" max="93" width="11.25" style="60" customWidth="1"/>
    <col min="94" max="124" width="9" style="2"/>
    <col min="125" max="125" width="1.625" style="2" customWidth="1"/>
    <col min="126" max="127" width="11.25" style="60" customWidth="1"/>
    <col min="128" max="16384" width="9" style="2"/>
  </cols>
  <sheetData>
    <row r="1" spans="1:158" ht="13.5" customHeight="1" x14ac:dyDescent="0.15">
      <c r="A1" s="220" t="str">
        <f>管理者入力シート!B2</f>
        <v>45205_8</v>
      </c>
      <c r="B1" s="25" t="s">
        <v>44</v>
      </c>
      <c r="C1" s="26"/>
      <c r="D1" s="330" t="s">
        <v>0</v>
      </c>
      <c r="E1" s="330" t="s">
        <v>1</v>
      </c>
      <c r="F1" s="330" t="s">
        <v>2</v>
      </c>
      <c r="G1" s="330" t="s">
        <v>3</v>
      </c>
      <c r="H1" s="330" t="s">
        <v>4</v>
      </c>
      <c r="I1" s="330" t="s">
        <v>5</v>
      </c>
      <c r="J1" s="330" t="s">
        <v>6</v>
      </c>
      <c r="K1" s="330" t="s">
        <v>7</v>
      </c>
      <c r="L1" s="330" t="s">
        <v>8</v>
      </c>
      <c r="M1" s="330" t="s">
        <v>9</v>
      </c>
      <c r="N1" s="330" t="s">
        <v>10</v>
      </c>
      <c r="O1" s="330" t="s">
        <v>11</v>
      </c>
      <c r="P1" s="330" t="s">
        <v>12</v>
      </c>
      <c r="Q1" s="330" t="s">
        <v>13</v>
      </c>
      <c r="R1" s="330" t="s">
        <v>14</v>
      </c>
      <c r="S1" s="330" t="s">
        <v>15</v>
      </c>
      <c r="T1" s="330" t="s">
        <v>16</v>
      </c>
      <c r="U1" s="330" t="s">
        <v>17</v>
      </c>
      <c r="V1" s="330" t="s">
        <v>18</v>
      </c>
      <c r="W1" s="330" t="s">
        <v>19</v>
      </c>
      <c r="X1" s="330" t="s">
        <v>20</v>
      </c>
      <c r="Y1" s="330" t="s">
        <v>23</v>
      </c>
      <c r="Z1" s="327" t="s">
        <v>50</v>
      </c>
      <c r="AA1" s="327" t="s">
        <v>51</v>
      </c>
      <c r="AB1" s="328" t="s">
        <v>79</v>
      </c>
      <c r="AC1" s="328" t="s">
        <v>80</v>
      </c>
      <c r="AD1" s="327" t="s">
        <v>48</v>
      </c>
      <c r="AE1" s="327" t="s">
        <v>49</v>
      </c>
      <c r="AF1" s="327" t="s">
        <v>97</v>
      </c>
      <c r="AH1" s="60"/>
      <c r="AI1" s="47" t="s">
        <v>25</v>
      </c>
      <c r="AJ1" s="45" t="s">
        <v>90</v>
      </c>
      <c r="AK1" s="46"/>
      <c r="AL1" s="332" t="s">
        <v>89</v>
      </c>
      <c r="AM1" s="326" t="s">
        <v>27</v>
      </c>
      <c r="AN1" s="326" t="s">
        <v>28</v>
      </c>
      <c r="AO1" s="326" t="s">
        <v>26</v>
      </c>
      <c r="AP1" s="326" t="s">
        <v>29</v>
      </c>
      <c r="AQ1" s="326" t="s">
        <v>30</v>
      </c>
      <c r="AR1" s="326" t="s">
        <v>31</v>
      </c>
      <c r="AS1" s="326" t="s">
        <v>32</v>
      </c>
      <c r="AT1" s="326" t="s">
        <v>33</v>
      </c>
      <c r="AU1" s="326" t="s">
        <v>34</v>
      </c>
      <c r="AV1" s="326" t="s">
        <v>35</v>
      </c>
      <c r="AW1" s="326" t="s">
        <v>36</v>
      </c>
      <c r="AX1" s="326" t="s">
        <v>37</v>
      </c>
      <c r="AY1" s="326" t="s">
        <v>38</v>
      </c>
      <c r="AZ1" s="326" t="s">
        <v>39</v>
      </c>
      <c r="BA1" s="326" t="s">
        <v>40</v>
      </c>
      <c r="BB1" s="326" t="s">
        <v>45</v>
      </c>
      <c r="BC1" s="326" t="s">
        <v>41</v>
      </c>
      <c r="BD1" s="326" t="s">
        <v>42</v>
      </c>
      <c r="BE1" s="326" t="s">
        <v>46</v>
      </c>
      <c r="BF1" s="326" t="s">
        <v>43</v>
      </c>
      <c r="BI1" s="62" t="s">
        <v>44</v>
      </c>
      <c r="BJ1" s="63"/>
      <c r="BK1" s="325" t="s">
        <v>0</v>
      </c>
      <c r="BL1" s="325" t="s">
        <v>1</v>
      </c>
      <c r="BM1" s="325" t="s">
        <v>2</v>
      </c>
      <c r="BN1" s="325" t="s">
        <v>3</v>
      </c>
      <c r="BO1" s="325" t="s">
        <v>4</v>
      </c>
      <c r="BP1" s="325" t="s">
        <v>5</v>
      </c>
      <c r="BQ1" s="325" t="s">
        <v>6</v>
      </c>
      <c r="BR1" s="325" t="s">
        <v>7</v>
      </c>
      <c r="BS1" s="325" t="s">
        <v>8</v>
      </c>
      <c r="BT1" s="325" t="s">
        <v>9</v>
      </c>
      <c r="BU1" s="325" t="s">
        <v>10</v>
      </c>
      <c r="BV1" s="325" t="s">
        <v>11</v>
      </c>
      <c r="BW1" s="325" t="s">
        <v>12</v>
      </c>
      <c r="BX1" s="325" t="s">
        <v>13</v>
      </c>
      <c r="BY1" s="325" t="s">
        <v>14</v>
      </c>
      <c r="BZ1" s="325" t="s">
        <v>15</v>
      </c>
      <c r="CA1" s="325" t="s">
        <v>16</v>
      </c>
      <c r="CB1" s="325" t="s">
        <v>17</v>
      </c>
      <c r="CC1" s="325" t="s">
        <v>18</v>
      </c>
      <c r="CD1" s="325" t="s">
        <v>19</v>
      </c>
      <c r="CE1" s="325" t="s">
        <v>20</v>
      </c>
      <c r="CF1" s="325" t="s">
        <v>23</v>
      </c>
      <c r="CG1" s="322" t="s">
        <v>50</v>
      </c>
      <c r="CH1" s="322" t="s">
        <v>51</v>
      </c>
      <c r="CI1" s="323" t="s">
        <v>79</v>
      </c>
      <c r="CJ1" s="323" t="s">
        <v>80</v>
      </c>
      <c r="CK1" s="322" t="s">
        <v>48</v>
      </c>
      <c r="CL1" s="322" t="s">
        <v>49</v>
      </c>
      <c r="CM1" s="322" t="s">
        <v>97</v>
      </c>
      <c r="CP1" s="80" t="s">
        <v>44</v>
      </c>
      <c r="CQ1" s="81"/>
      <c r="CR1" s="321" t="s">
        <v>0</v>
      </c>
      <c r="CS1" s="321" t="s">
        <v>1</v>
      </c>
      <c r="CT1" s="321" t="s">
        <v>2</v>
      </c>
      <c r="CU1" s="321" t="s">
        <v>3</v>
      </c>
      <c r="CV1" s="321" t="s">
        <v>4</v>
      </c>
      <c r="CW1" s="321" t="s">
        <v>5</v>
      </c>
      <c r="CX1" s="321" t="s">
        <v>6</v>
      </c>
      <c r="CY1" s="321" t="s">
        <v>7</v>
      </c>
      <c r="CZ1" s="321" t="s">
        <v>8</v>
      </c>
      <c r="DA1" s="321" t="s">
        <v>9</v>
      </c>
      <c r="DB1" s="321" t="s">
        <v>10</v>
      </c>
      <c r="DC1" s="321" t="s">
        <v>11</v>
      </c>
      <c r="DD1" s="321" t="s">
        <v>12</v>
      </c>
      <c r="DE1" s="321" t="s">
        <v>13</v>
      </c>
      <c r="DF1" s="321" t="s">
        <v>14</v>
      </c>
      <c r="DG1" s="321" t="s">
        <v>15</v>
      </c>
      <c r="DH1" s="321" t="s">
        <v>16</v>
      </c>
      <c r="DI1" s="321" t="s">
        <v>17</v>
      </c>
      <c r="DJ1" s="321" t="s">
        <v>18</v>
      </c>
      <c r="DK1" s="321" t="s">
        <v>19</v>
      </c>
      <c r="DL1" s="321" t="s">
        <v>20</v>
      </c>
      <c r="DM1" s="321" t="s">
        <v>23</v>
      </c>
      <c r="DN1" s="318" t="s">
        <v>50</v>
      </c>
      <c r="DO1" s="318" t="s">
        <v>51</v>
      </c>
      <c r="DP1" s="319" t="s">
        <v>79</v>
      </c>
      <c r="DQ1" s="319" t="s">
        <v>80</v>
      </c>
      <c r="DR1" s="318" t="s">
        <v>48</v>
      </c>
      <c r="DS1" s="318" t="s">
        <v>49</v>
      </c>
      <c r="DT1" s="318" t="s">
        <v>97</v>
      </c>
      <c r="DV1" s="338" t="s">
        <v>449</v>
      </c>
      <c r="DW1" s="339"/>
      <c r="DX1" s="334">
        <f>DW17</f>
        <v>11</v>
      </c>
      <c r="DY1" s="335"/>
      <c r="DZ1" s="331" t="s">
        <v>0</v>
      </c>
      <c r="EA1" s="331" t="s">
        <v>1</v>
      </c>
      <c r="EB1" s="331" t="s">
        <v>2</v>
      </c>
      <c r="EC1" s="331" t="s">
        <v>3</v>
      </c>
      <c r="ED1" s="331" t="s">
        <v>4</v>
      </c>
      <c r="EE1" s="331" t="s">
        <v>5</v>
      </c>
      <c r="EF1" s="331" t="s">
        <v>6</v>
      </c>
      <c r="EG1" s="331" t="s">
        <v>7</v>
      </c>
      <c r="EH1" s="331" t="s">
        <v>8</v>
      </c>
      <c r="EI1" s="331" t="s">
        <v>9</v>
      </c>
      <c r="EJ1" s="331" t="s">
        <v>10</v>
      </c>
      <c r="EK1" s="331" t="s">
        <v>11</v>
      </c>
      <c r="EL1" s="331" t="s">
        <v>12</v>
      </c>
      <c r="EM1" s="331" t="s">
        <v>13</v>
      </c>
      <c r="EN1" s="331" t="s">
        <v>14</v>
      </c>
      <c r="EO1" s="331" t="s">
        <v>15</v>
      </c>
      <c r="EP1" s="331" t="s">
        <v>16</v>
      </c>
      <c r="EQ1" s="331" t="s">
        <v>17</v>
      </c>
      <c r="ER1" s="331" t="s">
        <v>18</v>
      </c>
      <c r="ES1" s="331" t="s">
        <v>19</v>
      </c>
      <c r="ET1" s="331" t="s">
        <v>20</v>
      </c>
      <c r="EU1" s="331" t="s">
        <v>23</v>
      </c>
      <c r="EV1" s="333" t="s">
        <v>50</v>
      </c>
      <c r="EW1" s="333" t="s">
        <v>51</v>
      </c>
      <c r="EX1" s="340" t="s">
        <v>79</v>
      </c>
      <c r="EY1" s="340" t="s">
        <v>80</v>
      </c>
      <c r="EZ1" s="333" t="s">
        <v>48</v>
      </c>
      <c r="FA1" s="333" t="s">
        <v>49</v>
      </c>
      <c r="FB1" s="333" t="s">
        <v>97</v>
      </c>
    </row>
    <row r="2" spans="1:158" x14ac:dyDescent="0.15">
      <c r="A2" s="60" t="s">
        <v>56</v>
      </c>
      <c r="B2" s="27"/>
      <c r="C2" s="28"/>
      <c r="D2" s="330"/>
      <c r="E2" s="330"/>
      <c r="F2" s="330"/>
      <c r="G2" s="330"/>
      <c r="H2" s="330"/>
      <c r="I2" s="330"/>
      <c r="J2" s="330"/>
      <c r="K2" s="330"/>
      <c r="L2" s="330"/>
      <c r="M2" s="330"/>
      <c r="N2" s="330"/>
      <c r="O2" s="330"/>
      <c r="P2" s="330"/>
      <c r="Q2" s="330"/>
      <c r="R2" s="330"/>
      <c r="S2" s="330"/>
      <c r="T2" s="330"/>
      <c r="U2" s="330"/>
      <c r="V2" s="330"/>
      <c r="W2" s="330"/>
      <c r="X2" s="330"/>
      <c r="Y2" s="330"/>
      <c r="Z2" s="327"/>
      <c r="AA2" s="327"/>
      <c r="AB2" s="329"/>
      <c r="AC2" s="329"/>
      <c r="AD2" s="327"/>
      <c r="AE2" s="327"/>
      <c r="AF2" s="327"/>
      <c r="AI2" s="48"/>
      <c r="AJ2" s="49"/>
      <c r="AK2" s="50"/>
      <c r="AL2" s="332"/>
      <c r="AM2" s="326"/>
      <c r="AN2" s="326"/>
      <c r="AO2" s="326"/>
      <c r="AP2" s="326"/>
      <c r="AQ2" s="326"/>
      <c r="AR2" s="326"/>
      <c r="AS2" s="326"/>
      <c r="AT2" s="326"/>
      <c r="AU2" s="326"/>
      <c r="AV2" s="326"/>
      <c r="AW2" s="326"/>
      <c r="AX2" s="326"/>
      <c r="AY2" s="326"/>
      <c r="AZ2" s="326"/>
      <c r="BA2" s="326"/>
      <c r="BB2" s="326"/>
      <c r="BC2" s="326"/>
      <c r="BD2" s="326"/>
      <c r="BE2" s="326"/>
      <c r="BF2" s="326"/>
      <c r="BH2" s="60" t="s">
        <v>56</v>
      </c>
      <c r="BI2" s="64" t="s">
        <v>116</v>
      </c>
      <c r="BJ2" s="65"/>
      <c r="BK2" s="325"/>
      <c r="BL2" s="325"/>
      <c r="BM2" s="325"/>
      <c r="BN2" s="325"/>
      <c r="BO2" s="325"/>
      <c r="BP2" s="325"/>
      <c r="BQ2" s="325"/>
      <c r="BR2" s="325"/>
      <c r="BS2" s="325"/>
      <c r="BT2" s="325"/>
      <c r="BU2" s="325"/>
      <c r="BV2" s="325"/>
      <c r="BW2" s="325"/>
      <c r="BX2" s="325"/>
      <c r="BY2" s="325"/>
      <c r="BZ2" s="325"/>
      <c r="CA2" s="325"/>
      <c r="CB2" s="325"/>
      <c r="CC2" s="325"/>
      <c r="CD2" s="325"/>
      <c r="CE2" s="325"/>
      <c r="CF2" s="325"/>
      <c r="CG2" s="322"/>
      <c r="CH2" s="322"/>
      <c r="CI2" s="324"/>
      <c r="CJ2" s="324"/>
      <c r="CK2" s="322"/>
      <c r="CL2" s="322"/>
      <c r="CM2" s="322"/>
      <c r="CO2" s="60" t="s">
        <v>56</v>
      </c>
      <c r="CP2" s="82" t="s">
        <v>117</v>
      </c>
      <c r="CQ2" s="83"/>
      <c r="CR2" s="321"/>
      <c r="CS2" s="321"/>
      <c r="CT2" s="321"/>
      <c r="CU2" s="321"/>
      <c r="CV2" s="321"/>
      <c r="CW2" s="321"/>
      <c r="CX2" s="321"/>
      <c r="CY2" s="321"/>
      <c r="CZ2" s="321"/>
      <c r="DA2" s="321"/>
      <c r="DB2" s="321"/>
      <c r="DC2" s="321"/>
      <c r="DD2" s="321"/>
      <c r="DE2" s="321"/>
      <c r="DF2" s="321"/>
      <c r="DG2" s="321"/>
      <c r="DH2" s="321"/>
      <c r="DI2" s="321"/>
      <c r="DJ2" s="321"/>
      <c r="DK2" s="321"/>
      <c r="DL2" s="321"/>
      <c r="DM2" s="321"/>
      <c r="DN2" s="318"/>
      <c r="DO2" s="318"/>
      <c r="DP2" s="320"/>
      <c r="DQ2" s="320"/>
      <c r="DR2" s="318"/>
      <c r="DS2" s="318"/>
      <c r="DT2" s="318"/>
      <c r="DV2" s="338"/>
      <c r="DW2" s="339"/>
      <c r="DX2" s="336"/>
      <c r="DY2" s="337"/>
      <c r="DZ2" s="331"/>
      <c r="EA2" s="331"/>
      <c r="EB2" s="331"/>
      <c r="EC2" s="331"/>
      <c r="ED2" s="331"/>
      <c r="EE2" s="331"/>
      <c r="EF2" s="331"/>
      <c r="EG2" s="331"/>
      <c r="EH2" s="331"/>
      <c r="EI2" s="331"/>
      <c r="EJ2" s="331"/>
      <c r="EK2" s="331"/>
      <c r="EL2" s="331"/>
      <c r="EM2" s="331"/>
      <c r="EN2" s="331"/>
      <c r="EO2" s="331"/>
      <c r="EP2" s="331"/>
      <c r="EQ2" s="331"/>
      <c r="ER2" s="331"/>
      <c r="ES2" s="331"/>
      <c r="ET2" s="331"/>
      <c r="EU2" s="331"/>
      <c r="EV2" s="333"/>
      <c r="EW2" s="333"/>
      <c r="EX2" s="341"/>
      <c r="EY2" s="341"/>
      <c r="EZ2" s="333"/>
      <c r="FA2" s="333"/>
      <c r="FB2" s="333"/>
    </row>
    <row r="3" spans="1:158" x14ac:dyDescent="0.15">
      <c r="A3" s="60" t="str">
        <f>B3&amp;"_"&amp;IF(C3="男性",1,IF(C3="女性",2,IF(C3="合計",3)))</f>
        <v>2005_1</v>
      </c>
      <c r="B3" s="29">
        <v>2005</v>
      </c>
      <c r="C3" s="4" t="s">
        <v>21</v>
      </c>
      <c r="D3" s="202">
        <v>24.9</v>
      </c>
      <c r="E3" s="10">
        <v>25.2</v>
      </c>
      <c r="F3" s="10">
        <v>35.4</v>
      </c>
      <c r="G3" s="10">
        <v>36.9</v>
      </c>
      <c r="H3" s="10">
        <v>18</v>
      </c>
      <c r="I3" s="10">
        <v>25.8</v>
      </c>
      <c r="J3" s="10">
        <v>18.3</v>
      </c>
      <c r="K3" s="10">
        <v>29.4</v>
      </c>
      <c r="L3" s="10">
        <v>32.1</v>
      </c>
      <c r="M3" s="10">
        <v>45.6</v>
      </c>
      <c r="N3" s="10">
        <v>46.199999999999996</v>
      </c>
      <c r="O3" s="10">
        <v>44.699999999999996</v>
      </c>
      <c r="P3" s="10">
        <v>35.699999999999996</v>
      </c>
      <c r="Q3" s="10">
        <v>42.3</v>
      </c>
      <c r="R3" s="10">
        <v>42</v>
      </c>
      <c r="S3" s="10">
        <v>34.799999999999997</v>
      </c>
      <c r="T3" s="10">
        <v>14.399999999999999</v>
      </c>
      <c r="U3" s="10">
        <v>4.2</v>
      </c>
      <c r="V3" s="10">
        <v>2.1</v>
      </c>
      <c r="W3" s="10">
        <v>0.3</v>
      </c>
      <c r="X3" s="10">
        <v>0.3</v>
      </c>
      <c r="Y3" s="10">
        <v>558.59999999999991</v>
      </c>
      <c r="Z3" s="10">
        <f>E3*3/5+F3*3/5</f>
        <v>36.36</v>
      </c>
      <c r="AA3" s="10">
        <f>F3*2/5+G3*1/5</f>
        <v>21.54</v>
      </c>
      <c r="AB3" s="10">
        <f t="shared" ref="AB3:AB20" si="0">SUM(Q3:X3)</f>
        <v>140.4</v>
      </c>
      <c r="AC3" s="10">
        <f>SUM(S3:X3)</f>
        <v>56.099999999999994</v>
      </c>
      <c r="AD3" s="14">
        <f>AB3/Y3</f>
        <v>0.25134264232008596</v>
      </c>
      <c r="AE3" s="14">
        <f>AC3/Y3</f>
        <v>0.1004296455424275</v>
      </c>
      <c r="AF3" s="10">
        <f>SUM(H3:K3)</f>
        <v>91.5</v>
      </c>
      <c r="AH3" s="60"/>
      <c r="AI3" s="29" t="s">
        <v>87</v>
      </c>
      <c r="AJ3" s="4">
        <f>管理者入力シート!B6</f>
        <v>2015</v>
      </c>
      <c r="AK3" s="4">
        <f>管理者入力シート!B5</f>
        <v>2020</v>
      </c>
      <c r="AL3" s="32" t="s">
        <v>21</v>
      </c>
      <c r="AM3" s="7">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1.1886792452830188</v>
      </c>
      <c r="AN3" s="7">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1.0655737704918031</v>
      </c>
      <c r="AO3" s="7">
        <f t="shared" si="1"/>
        <v>0.77108433734939763</v>
      </c>
      <c r="AP3" s="7">
        <f t="shared" si="1"/>
        <v>0.44117647058823534</v>
      </c>
      <c r="AQ3" s="7">
        <f t="shared" si="1"/>
        <v>0.81818181818181812</v>
      </c>
      <c r="AR3" s="7">
        <f t="shared" si="1"/>
        <v>0.98039215686274517</v>
      </c>
      <c r="AS3" s="7">
        <f t="shared" si="1"/>
        <v>1.1166666666666665</v>
      </c>
      <c r="AT3" s="7">
        <f t="shared" si="1"/>
        <v>1.0270270270270272</v>
      </c>
      <c r="AU3" s="7">
        <f t="shared" si="1"/>
        <v>1.0999999999999999</v>
      </c>
      <c r="AV3" s="7">
        <f t="shared" si="1"/>
        <v>0.96969696969696961</v>
      </c>
      <c r="AW3" s="7">
        <f t="shared" si="1"/>
        <v>0.98058252427184467</v>
      </c>
      <c r="AX3" s="7">
        <f t="shared" si="1"/>
        <v>0.9285714285714286</v>
      </c>
      <c r="AY3" s="7">
        <f t="shared" si="1"/>
        <v>0.91558441558441561</v>
      </c>
      <c r="AZ3" s="7">
        <f t="shared" si="1"/>
        <v>0.95270270270270263</v>
      </c>
      <c r="BA3" s="7">
        <f t="shared" si="1"/>
        <v>0.94444444444444442</v>
      </c>
      <c r="BB3" s="7">
        <f t="shared" si="1"/>
        <v>0.77777777777777779</v>
      </c>
      <c r="BC3" s="7">
        <f t="shared" si="1"/>
        <v>0.73469387755102034</v>
      </c>
      <c r="BD3" s="7">
        <f t="shared" si="1"/>
        <v>0.515625</v>
      </c>
      <c r="BE3" s="7">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7">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60" t="str">
        <f>BI3&amp;"_"&amp;IF(BJ3="男性",1,IF(BJ3="女性",2,IF(BJ3="合計",3)))</f>
        <v>2025_1</v>
      </c>
      <c r="BI3" s="29">
        <f>管理者入力シート!B8</f>
        <v>2025</v>
      </c>
      <c r="BJ3" s="4" t="s">
        <v>21</v>
      </c>
      <c r="BK3" s="10">
        <f>CM4*AK$13</f>
        <v>8.6044250276587579</v>
      </c>
      <c r="BL3" s="10">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9.8140329172301737</v>
      </c>
      <c r="BM3" s="10">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18.63253368373206</v>
      </c>
      <c r="BN3" s="10">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15.59312219821078</v>
      </c>
      <c r="BO3" s="10">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9.7034671917720043</v>
      </c>
      <c r="BP3" s="10">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8.2218113465453477</v>
      </c>
      <c r="BQ3" s="10">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10.519702306738099</v>
      </c>
      <c r="BR3" s="10">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15.439086262320854</v>
      </c>
      <c r="BS3" s="10">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20.667195960536692</v>
      </c>
      <c r="BT3" s="10">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23.219568102295593</v>
      </c>
      <c r="BU3" s="10">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23.085995755002639</v>
      </c>
      <c r="BV3" s="10">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28.317467317631156</v>
      </c>
      <c r="BW3" s="10">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29.197810583280773</v>
      </c>
      <c r="BX3" s="10">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36.823313609095443</v>
      </c>
      <c r="BY3" s="10">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39.168804896588647</v>
      </c>
      <c r="BZ3" s="10">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39.714304727641895</v>
      </c>
      <c r="CA3" s="10">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23.895010357813195</v>
      </c>
      <c r="CB3" s="10">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21.369557260928215</v>
      </c>
      <c r="CC3" s="10">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9.590758419375577</v>
      </c>
      <c r="CD3" s="10">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9.9000000000000008E-3</v>
      </c>
      <c r="CE3" s="10">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2.9999999999999997E-4</v>
      </c>
      <c r="CF3" s="10">
        <f t="shared" ref="CF3:CF14" si="2">SUM(BK3:CE3)</f>
        <v>391.58816792439791</v>
      </c>
      <c r="CG3" s="10">
        <f>BL3*3/5+BM3*3/5</f>
        <v>17.067939960577341</v>
      </c>
      <c r="CH3" s="10">
        <f>BM3*2/5+BN3*1/5</f>
        <v>10.57163791313498</v>
      </c>
      <c r="CI3" s="10">
        <f t="shared" ref="CI3:CI14" si="3">SUM(BX3:CE3)</f>
        <v>170.57194927144297</v>
      </c>
      <c r="CJ3" s="10">
        <f>SUM(BZ3:CE3)</f>
        <v>94.579830765758885</v>
      </c>
      <c r="CK3" s="14">
        <f>CI3/CF3</f>
        <v>0.43559015119265426</v>
      </c>
      <c r="CL3" s="14">
        <f>CJ3/CF3</f>
        <v>0.2415288267443744</v>
      </c>
      <c r="CM3" s="10">
        <f>SUM(BO3:BR3)</f>
        <v>43.884067107376303</v>
      </c>
      <c r="CO3" s="60" t="str">
        <f>CP3&amp;"_"&amp;IF(CQ3="男性",1,IF(CQ3="女性",2,IF(CQ3="合計",3)))</f>
        <v>2025_1</v>
      </c>
      <c r="CP3" s="29">
        <f>管理者入力シート!B8</f>
        <v>2025</v>
      </c>
      <c r="CQ3" s="4" t="s">
        <v>21</v>
      </c>
      <c r="CR3" s="10">
        <f>BK3+将来予測シート②!$G17</f>
        <v>9.6044250276587579</v>
      </c>
      <c r="CS3" s="10">
        <f>BL3+将来予測シート②!$G18</f>
        <v>9.8140329172301737</v>
      </c>
      <c r="CT3" s="10">
        <f>BM3+将来予測シート②!$G19</f>
        <v>19.63253368373206</v>
      </c>
      <c r="CU3" s="10">
        <f>BN3+将来予測シート②!$G20</f>
        <v>15.59312219821078</v>
      </c>
      <c r="CV3" s="10">
        <f>BO3+将来予測シート②!$G21</f>
        <v>9.7034671917720043</v>
      </c>
      <c r="CW3" s="10">
        <f>BP3+将来予測シート②!$G22</f>
        <v>10.221811346545348</v>
      </c>
      <c r="CX3" s="10">
        <f>BQ3+将来予測シート②!$G23</f>
        <v>10.519702306738099</v>
      </c>
      <c r="CY3" s="10">
        <f>BR3+将来予測シート②!$G24</f>
        <v>15.439086262320854</v>
      </c>
      <c r="CZ3" s="10">
        <f>BS3+将来予測シート②!$G25</f>
        <v>20.667195960536692</v>
      </c>
      <c r="DA3" s="10">
        <f>BT3+将来予測シート②!$G26</f>
        <v>23.219568102295593</v>
      </c>
      <c r="DB3" s="10">
        <f>BU3+将来予測シート②!$G27</f>
        <v>23.085995755002639</v>
      </c>
      <c r="DC3" s="10">
        <f>BV3+将来予測シート②!$G28</f>
        <v>28.317467317631156</v>
      </c>
      <c r="DD3" s="10">
        <f>BW3+将来予測シート②!$G29</f>
        <v>29.197810583280773</v>
      </c>
      <c r="DE3" s="10">
        <f>BX3</f>
        <v>36.823313609095443</v>
      </c>
      <c r="DF3" s="10">
        <f t="shared" ref="DF3:DL3" si="4">BY3</f>
        <v>39.168804896588647</v>
      </c>
      <c r="DG3" s="10">
        <f t="shared" si="4"/>
        <v>39.714304727641895</v>
      </c>
      <c r="DH3" s="10">
        <f t="shared" si="4"/>
        <v>23.895010357813195</v>
      </c>
      <c r="DI3" s="10">
        <f t="shared" si="4"/>
        <v>21.369557260928215</v>
      </c>
      <c r="DJ3" s="10">
        <f t="shared" si="4"/>
        <v>9.590758419375577</v>
      </c>
      <c r="DK3" s="10">
        <f t="shared" si="4"/>
        <v>9.9000000000000008E-3</v>
      </c>
      <c r="DL3" s="10">
        <f t="shared" si="4"/>
        <v>2.9999999999999997E-4</v>
      </c>
      <c r="DM3" s="10">
        <f t="shared" ref="DM3:DM4" si="5">SUM(CR3:DL3)</f>
        <v>395.58816792439791</v>
      </c>
      <c r="DN3" s="10">
        <f>CS3*3/5+CT3*3/5</f>
        <v>17.667939960577339</v>
      </c>
      <c r="DO3" s="10">
        <f>CT3*2/5+CU3*1/5</f>
        <v>10.97163791313498</v>
      </c>
      <c r="DP3" s="10">
        <f t="shared" ref="DP3:DP14" si="6">SUM(DE3:DL3)</f>
        <v>170.57194927144297</v>
      </c>
      <c r="DQ3" s="10">
        <f>SUM(DG3:DL3)</f>
        <v>94.579830765758885</v>
      </c>
      <c r="DR3" s="14">
        <f>DP3/DM3</f>
        <v>0.43118567010336245</v>
      </c>
      <c r="DS3" s="14">
        <f>DQ3/DM3</f>
        <v>0.23908660176063287</v>
      </c>
      <c r="DT3" s="10">
        <f>SUM(CV3:CY3)</f>
        <v>45.884067107376303</v>
      </c>
      <c r="DV3" s="338"/>
      <c r="DW3" s="339"/>
      <c r="DX3" s="29">
        <f>管理者入力シート!B8</f>
        <v>2025</v>
      </c>
      <c r="DY3" s="4" t="s">
        <v>21</v>
      </c>
      <c r="DZ3" s="10">
        <f>BK$3</f>
        <v>8.6044250276587579</v>
      </c>
      <c r="EA3" s="10">
        <f>BL$3</f>
        <v>9.8140329172301737</v>
      </c>
      <c r="EB3" s="10">
        <f t="shared" ref="EB3:ED3" si="7">BM$3</f>
        <v>18.63253368373206</v>
      </c>
      <c r="EC3" s="10">
        <f t="shared" si="7"/>
        <v>15.59312219821078</v>
      </c>
      <c r="ED3" s="10">
        <f t="shared" si="7"/>
        <v>9.7034671917720043</v>
      </c>
      <c r="EE3" s="10">
        <f>BP$3+DX1</f>
        <v>19.221811346545348</v>
      </c>
      <c r="EF3" s="10">
        <f>BQ$3+DX1</f>
        <v>21.519702306738097</v>
      </c>
      <c r="EG3" s="10">
        <f>BR$3+DX1</f>
        <v>26.439086262320856</v>
      </c>
      <c r="EH3" s="10">
        <f t="shared" ref="EH3:ET3" si="8">BS$3</f>
        <v>20.667195960536692</v>
      </c>
      <c r="EI3" s="10">
        <f t="shared" si="8"/>
        <v>23.219568102295593</v>
      </c>
      <c r="EJ3" s="10">
        <f t="shared" si="8"/>
        <v>23.085995755002639</v>
      </c>
      <c r="EK3" s="10">
        <f t="shared" si="8"/>
        <v>28.317467317631156</v>
      </c>
      <c r="EL3" s="10">
        <f t="shared" si="8"/>
        <v>29.197810583280773</v>
      </c>
      <c r="EM3" s="10">
        <f t="shared" si="8"/>
        <v>36.823313609095443</v>
      </c>
      <c r="EN3" s="10">
        <f t="shared" si="8"/>
        <v>39.168804896588647</v>
      </c>
      <c r="EO3" s="10">
        <f t="shared" si="8"/>
        <v>39.714304727641895</v>
      </c>
      <c r="EP3" s="10">
        <f t="shared" si="8"/>
        <v>23.895010357813195</v>
      </c>
      <c r="EQ3" s="10">
        <f t="shared" si="8"/>
        <v>21.369557260928215</v>
      </c>
      <c r="ER3" s="10">
        <f t="shared" si="8"/>
        <v>9.590758419375577</v>
      </c>
      <c r="ES3" s="10">
        <f t="shared" si="8"/>
        <v>9.9000000000000008E-3</v>
      </c>
      <c r="ET3" s="10">
        <f t="shared" si="8"/>
        <v>2.9999999999999997E-4</v>
      </c>
      <c r="EU3" s="10">
        <f t="shared" ref="EU3:EU4" si="9">SUM(DZ3:ET3)</f>
        <v>424.58816792439791</v>
      </c>
      <c r="EV3" s="10">
        <f>EA3*3/5+EB3*3/5</f>
        <v>17.067939960577341</v>
      </c>
      <c r="EW3" s="10">
        <f>EB3*2/5+EC3*1/5</f>
        <v>10.57163791313498</v>
      </c>
      <c r="EX3" s="10">
        <f t="shared" ref="EX3:EX14" si="10">SUM(EM3:ET3)</f>
        <v>170.57194927144297</v>
      </c>
      <c r="EY3" s="10">
        <f>SUM(EO3:ET3)</f>
        <v>94.579830765758885</v>
      </c>
      <c r="EZ3" s="14">
        <f>EX3/EU3</f>
        <v>0.4017350509442717</v>
      </c>
      <c r="FA3" s="14">
        <f>EY3/EU3</f>
        <v>0.22275663315846275</v>
      </c>
      <c r="FB3" s="10">
        <f>SUM(ED3:EG3)</f>
        <v>76.884067107376296</v>
      </c>
    </row>
    <row r="4" spans="1:158" x14ac:dyDescent="0.15">
      <c r="A4" s="60" t="str">
        <f t="shared" ref="A4:A14" si="11">B4&amp;"_"&amp;IF(C4="男性",1,IF(C4="女性",2,IF(C4="合計",3)))</f>
        <v>2005_2</v>
      </c>
      <c r="B4" s="30">
        <v>2005</v>
      </c>
      <c r="C4" s="5" t="s">
        <v>22</v>
      </c>
      <c r="D4" s="11">
        <v>19.2</v>
      </c>
      <c r="E4" s="11">
        <v>29.099999999999998</v>
      </c>
      <c r="F4" s="11">
        <v>27.3</v>
      </c>
      <c r="G4" s="11">
        <v>26.099999999999998</v>
      </c>
      <c r="H4" s="11">
        <v>15.299999999999999</v>
      </c>
      <c r="I4" s="11">
        <v>25.5</v>
      </c>
      <c r="J4" s="11">
        <v>22.8</v>
      </c>
      <c r="K4" s="11">
        <v>28.5</v>
      </c>
      <c r="L4" s="11">
        <v>33.6</v>
      </c>
      <c r="M4" s="11">
        <v>36.6</v>
      </c>
      <c r="N4" s="11">
        <v>49.8</v>
      </c>
      <c r="O4" s="11">
        <v>45</v>
      </c>
      <c r="P4" s="11">
        <v>49.199999999999996</v>
      </c>
      <c r="Q4" s="11">
        <v>45.6</v>
      </c>
      <c r="R4" s="11">
        <v>48.6</v>
      </c>
      <c r="S4" s="11">
        <v>39</v>
      </c>
      <c r="T4" s="11">
        <v>25.2</v>
      </c>
      <c r="U4" s="11">
        <v>14.1</v>
      </c>
      <c r="V4" s="11">
        <v>6.8999999999999995</v>
      </c>
      <c r="W4" s="11">
        <v>0.89999999999999991</v>
      </c>
      <c r="X4" s="11">
        <v>0.3</v>
      </c>
      <c r="Y4" s="11">
        <v>588.6</v>
      </c>
      <c r="Z4" s="11">
        <f t="shared" ref="Z4:Z11" si="12">E4*3/5+F4*3/5</f>
        <v>33.840000000000003</v>
      </c>
      <c r="AA4" s="11">
        <f t="shared" ref="AA4:AA11" si="13">F4*2/5+G4*1/5</f>
        <v>16.14</v>
      </c>
      <c r="AB4" s="11">
        <f t="shared" si="0"/>
        <v>180.6</v>
      </c>
      <c r="AC4" s="11">
        <f t="shared" ref="AC4:AC11" si="14">SUM(S4:X4)</f>
        <v>86.4</v>
      </c>
      <c r="AD4" s="15">
        <f t="shared" ref="AD4:AD11" si="15">AB4/Y4</f>
        <v>0.30682976554536184</v>
      </c>
      <c r="AE4" s="15">
        <f t="shared" ref="AE4:AE11" si="16">AC4/Y4</f>
        <v>0.14678899082568808</v>
      </c>
      <c r="AF4" s="11">
        <f t="shared" ref="AF4:AF20" si="17">SUM(H4:K4)</f>
        <v>92.1</v>
      </c>
      <c r="AH4" s="60"/>
      <c r="AI4" s="31" t="s">
        <v>87</v>
      </c>
      <c r="AJ4" s="6">
        <f>AJ3</f>
        <v>2015</v>
      </c>
      <c r="AK4" s="6">
        <f>AK3</f>
        <v>2020</v>
      </c>
      <c r="AL4" s="34" t="s">
        <v>22</v>
      </c>
      <c r="AM4" s="211">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1.2451764705882353</v>
      </c>
      <c r="AN4" s="211">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1.1792647058823529</v>
      </c>
      <c r="AO4" s="211">
        <f t="shared" si="18"/>
        <v>0.69374117647058819</v>
      </c>
      <c r="AP4" s="211">
        <f t="shared" si="18"/>
        <v>0.67988687782805435</v>
      </c>
      <c r="AQ4" s="211">
        <f t="shared" si="18"/>
        <v>1.0283823529411766</v>
      </c>
      <c r="AR4" s="211">
        <f t="shared" si="18"/>
        <v>1.0005882352941176</v>
      </c>
      <c r="AS4" s="211">
        <f t="shared" si="18"/>
        <v>1.0005882352941176</v>
      </c>
      <c r="AT4" s="211">
        <f t="shared" si="18"/>
        <v>0.96568399452804377</v>
      </c>
      <c r="AU4" s="211">
        <f t="shared" si="18"/>
        <v>1.1435294117647059</v>
      </c>
      <c r="AV4" s="211">
        <f t="shared" si="18"/>
        <v>1.0118307997356244</v>
      </c>
      <c r="AW4" s="211">
        <f t="shared" si="18"/>
        <v>0.9916544117647057</v>
      </c>
      <c r="AX4" s="211">
        <f t="shared" si="18"/>
        <v>0.98598110777157577</v>
      </c>
      <c r="AY4" s="211">
        <f t="shared" si="18"/>
        <v>0.97603392277156253</v>
      </c>
      <c r="AZ4" s="211">
        <f t="shared" si="18"/>
        <v>1.0005882352941178</v>
      </c>
      <c r="BA4" s="211">
        <f t="shared" si="18"/>
        <v>0.91666793168880456</v>
      </c>
      <c r="BB4" s="211">
        <f t="shared" si="18"/>
        <v>0.94792569659442727</v>
      </c>
      <c r="BC4" s="211">
        <f t="shared" si="18"/>
        <v>0.74368044515103338</v>
      </c>
      <c r="BD4" s="211">
        <f t="shared" si="18"/>
        <v>0.52861265260821311</v>
      </c>
      <c r="BE4" s="211">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0.27413376309427878</v>
      </c>
      <c r="BF4" s="211">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0.47086505190311417</v>
      </c>
      <c r="BH4" s="60" t="str">
        <f t="shared" ref="BH4:BH20" si="19">BI4&amp;"_"&amp;IF(BJ4="男性",1,IF(BJ4="女性",2,IF(BJ4="合計",3)))</f>
        <v>2025_2</v>
      </c>
      <c r="BI4" s="30">
        <f>BI3</f>
        <v>2025</v>
      </c>
      <c r="BJ4" s="5" t="s">
        <v>22</v>
      </c>
      <c r="BK4" s="11">
        <f>CM4*AK$14</f>
        <v>10.577369072236042</v>
      </c>
      <c r="BL4" s="11">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14.805280297062328</v>
      </c>
      <c r="BM4" s="11">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19.171076477572985</v>
      </c>
      <c r="BN4" s="11">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14.647011508030999</v>
      </c>
      <c r="BO4" s="11">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9.434354025837747</v>
      </c>
      <c r="BP4" s="11">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13.9720604524632</v>
      </c>
      <c r="BQ4" s="11">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11.1097955578173</v>
      </c>
      <c r="BR4" s="11">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12.466987470790686</v>
      </c>
      <c r="BS4" s="11">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18.334114752230295</v>
      </c>
      <c r="BT4" s="11">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26.642710694979158</v>
      </c>
      <c r="BU4" s="11">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30.464879481708465</v>
      </c>
      <c r="BV4" s="11">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27.20239953144743</v>
      </c>
      <c r="BW4" s="11">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32.984188270094464</v>
      </c>
      <c r="BX4" s="11">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40.035280118747231</v>
      </c>
      <c r="BY4" s="11">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47.137739750733353</v>
      </c>
      <c r="BZ4" s="11">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41.310518477612867</v>
      </c>
      <c r="CA4" s="11">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40.816642895997589</v>
      </c>
      <c r="CB4" s="11">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30.27894575861184</v>
      </c>
      <c r="CC4" s="11">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22.118227133111755</v>
      </c>
      <c r="CD4" s="11">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5.2378104749262455</v>
      </c>
      <c r="CE4" s="11">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0.13027313711507998</v>
      </c>
      <c r="CF4" s="11">
        <f t="shared" si="2"/>
        <v>468.87766533912696</v>
      </c>
      <c r="CG4" s="11">
        <f t="shared" ref="CG4:CG14" si="20">BL4*3/5+BM4*3/5</f>
        <v>20.38581406478119</v>
      </c>
      <c r="CH4" s="11">
        <f t="shared" ref="CH4:CH14" si="21">BM4*2/5+BN4*1/5</f>
        <v>10.597832892635395</v>
      </c>
      <c r="CI4" s="11">
        <f t="shared" si="3"/>
        <v>227.06543774685596</v>
      </c>
      <c r="CJ4" s="11">
        <f t="shared" ref="CJ4:CJ14" si="22">SUM(BZ4:CE4)</f>
        <v>139.89241787737535</v>
      </c>
      <c r="CK4" s="15">
        <f t="shared" ref="CK4:CK14" si="23">CI4/CF4</f>
        <v>0.48427437374869514</v>
      </c>
      <c r="CL4" s="15">
        <f t="shared" ref="CL4:CL14" si="24">CJ4/CF4</f>
        <v>0.29835590009644586</v>
      </c>
      <c r="CM4" s="11">
        <f t="shared" ref="CM4:CM14" si="25">SUM(BO4:BR4)</f>
        <v>46.98319750690893</v>
      </c>
      <c r="CO4" s="60" t="str">
        <f t="shared" ref="CO4:CO20" si="26">CP4&amp;"_"&amp;IF(CQ4="男性",1,IF(CQ4="女性",2,IF(CQ4="合計",3)))</f>
        <v>2025_2</v>
      </c>
      <c r="CP4" s="30">
        <f>CP3</f>
        <v>2025</v>
      </c>
      <c r="CQ4" s="5" t="s">
        <v>22</v>
      </c>
      <c r="CR4" s="11">
        <f>BK4+将来予測シート②!$H17</f>
        <v>11.577369072236042</v>
      </c>
      <c r="CS4" s="11">
        <f>BL4+将来予測シート②!$H18</f>
        <v>14.805280297062328</v>
      </c>
      <c r="CT4" s="11">
        <f>BM4+将来予測シート②!$H19</f>
        <v>20.171076477572985</v>
      </c>
      <c r="CU4" s="11">
        <f>BN4+将来予測シート②!$H20</f>
        <v>14.647011508030999</v>
      </c>
      <c r="CV4" s="11">
        <f>BO4+将来予測シート②!$H21</f>
        <v>9.434354025837747</v>
      </c>
      <c r="CW4" s="11">
        <f>BP4+将来予測シート②!$H22</f>
        <v>15.9720604524632</v>
      </c>
      <c r="CX4" s="11">
        <f>BQ4+将来予測シート②!$H23</f>
        <v>11.1097955578173</v>
      </c>
      <c r="CY4" s="11">
        <f>BR4+将来予測シート②!$H24</f>
        <v>12.466987470790686</v>
      </c>
      <c r="CZ4" s="11">
        <f>BS4+将来予測シート②!$H25</f>
        <v>19.334114752230295</v>
      </c>
      <c r="DA4" s="11">
        <f>BT4+将来予測シート②!$H26</f>
        <v>26.642710694979158</v>
      </c>
      <c r="DB4" s="11">
        <f>BU4+将来予測シート②!$H27</f>
        <v>30.464879481708465</v>
      </c>
      <c r="DC4" s="11">
        <f>BV4+将来予測シート②!$H28</f>
        <v>27.20239953144743</v>
      </c>
      <c r="DD4" s="11">
        <f>BW4+将来予測シート②!$H29</f>
        <v>32.984188270094464</v>
      </c>
      <c r="DE4" s="11">
        <f>BX4</f>
        <v>40.035280118747231</v>
      </c>
      <c r="DF4" s="11">
        <f t="shared" ref="DF4" si="27">BY4</f>
        <v>47.137739750733353</v>
      </c>
      <c r="DG4" s="11">
        <f t="shared" ref="DG4" si="28">BZ4</f>
        <v>41.310518477612867</v>
      </c>
      <c r="DH4" s="11">
        <f t="shared" ref="DH4" si="29">CA4</f>
        <v>40.816642895997589</v>
      </c>
      <c r="DI4" s="11">
        <f t="shared" ref="DI4" si="30">CB4</f>
        <v>30.27894575861184</v>
      </c>
      <c r="DJ4" s="11">
        <f t="shared" ref="DJ4" si="31">CC4</f>
        <v>22.118227133111755</v>
      </c>
      <c r="DK4" s="11">
        <f t="shared" ref="DK4" si="32">CD4</f>
        <v>5.2378104749262455</v>
      </c>
      <c r="DL4" s="11">
        <f t="shared" ref="DL4" si="33">CE4</f>
        <v>0.13027313711507998</v>
      </c>
      <c r="DM4" s="11">
        <f t="shared" si="5"/>
        <v>473.87766533912702</v>
      </c>
      <c r="DN4" s="11">
        <f t="shared" ref="DN4:DN14" si="34">CS4*3/5+CT4*3/5</f>
        <v>20.985814064781188</v>
      </c>
      <c r="DO4" s="11">
        <f t="shared" ref="DO4:DO14" si="35">CT4*2/5+CU4*1/5</f>
        <v>10.997832892635394</v>
      </c>
      <c r="DP4" s="11">
        <f t="shared" si="6"/>
        <v>227.06543774685596</v>
      </c>
      <c r="DQ4" s="11">
        <f t="shared" ref="DQ4:DQ14" si="36">SUM(DG4:DL4)</f>
        <v>139.89241787737535</v>
      </c>
      <c r="DR4" s="15">
        <f t="shared" ref="DR4:DR14" si="37">DP4/DM4</f>
        <v>0.47916467551674602</v>
      </c>
      <c r="DS4" s="15">
        <f t="shared" ref="DS4:DS14" si="38">DQ4/DM4</f>
        <v>0.29520787348621375</v>
      </c>
      <c r="DT4" s="11">
        <f>SUM(CV4:CY4)</f>
        <v>48.98319750690893</v>
      </c>
      <c r="DV4" s="338"/>
      <c r="DW4" s="339"/>
      <c r="DX4" s="30">
        <f>DX3</f>
        <v>2025</v>
      </c>
      <c r="DY4" s="5" t="s">
        <v>22</v>
      </c>
      <c r="DZ4" s="11">
        <f>BK$4</f>
        <v>10.577369072236042</v>
      </c>
      <c r="EA4" s="11">
        <f>BL$4</f>
        <v>14.805280297062328</v>
      </c>
      <c r="EB4" s="11">
        <f t="shared" ref="EB4:ED4" si="39">BM$4</f>
        <v>19.171076477572985</v>
      </c>
      <c r="EC4" s="11">
        <f t="shared" si="39"/>
        <v>14.647011508030999</v>
      </c>
      <c r="ED4" s="11">
        <f t="shared" si="39"/>
        <v>9.434354025837747</v>
      </c>
      <c r="EE4" s="11">
        <f>BP$4+DX1</f>
        <v>24.9720604524632</v>
      </c>
      <c r="EF4" s="11">
        <f>BQ$4+DX1</f>
        <v>22.1097955578173</v>
      </c>
      <c r="EG4" s="11">
        <f>BR$4+DX1</f>
        <v>23.466987470790684</v>
      </c>
      <c r="EH4" s="11">
        <f t="shared" ref="EH4:ET4" si="40">BS$4</f>
        <v>18.334114752230295</v>
      </c>
      <c r="EI4" s="11">
        <f t="shared" si="40"/>
        <v>26.642710694979158</v>
      </c>
      <c r="EJ4" s="11">
        <f t="shared" si="40"/>
        <v>30.464879481708465</v>
      </c>
      <c r="EK4" s="11">
        <f t="shared" si="40"/>
        <v>27.20239953144743</v>
      </c>
      <c r="EL4" s="11">
        <f t="shared" si="40"/>
        <v>32.984188270094464</v>
      </c>
      <c r="EM4" s="11">
        <f t="shared" si="40"/>
        <v>40.035280118747231</v>
      </c>
      <c r="EN4" s="11">
        <f t="shared" si="40"/>
        <v>47.137739750733353</v>
      </c>
      <c r="EO4" s="11">
        <f t="shared" si="40"/>
        <v>41.310518477612867</v>
      </c>
      <c r="EP4" s="11">
        <f t="shared" si="40"/>
        <v>40.816642895997589</v>
      </c>
      <c r="EQ4" s="11">
        <f t="shared" si="40"/>
        <v>30.27894575861184</v>
      </c>
      <c r="ER4" s="11">
        <f t="shared" si="40"/>
        <v>22.118227133111755</v>
      </c>
      <c r="ES4" s="11">
        <f t="shared" si="40"/>
        <v>5.2378104749262455</v>
      </c>
      <c r="ET4" s="11">
        <f t="shared" si="40"/>
        <v>0.13027313711507998</v>
      </c>
      <c r="EU4" s="11">
        <f t="shared" si="9"/>
        <v>501.87766533912702</v>
      </c>
      <c r="EV4" s="11">
        <f t="shared" ref="EV4:EV14" si="41">EA4*3/5+EB4*3/5</f>
        <v>20.38581406478119</v>
      </c>
      <c r="EW4" s="11">
        <f t="shared" ref="EW4:EW14" si="42">EB4*2/5+EC4*1/5</f>
        <v>10.597832892635395</v>
      </c>
      <c r="EX4" s="11">
        <f t="shared" si="10"/>
        <v>227.06543774685596</v>
      </c>
      <c r="EY4" s="11">
        <f t="shared" ref="EY4:EY14" si="43">SUM(EO4:ET4)</f>
        <v>139.89241787737535</v>
      </c>
      <c r="EZ4" s="15">
        <f t="shared" ref="EZ4:EZ14" si="44">EX4/EU4</f>
        <v>0.45243184430895944</v>
      </c>
      <c r="FA4" s="15">
        <f t="shared" ref="FA4:FA14" si="45">EY4/EU4</f>
        <v>0.27873808208390333</v>
      </c>
      <c r="FB4" s="11">
        <f>SUM(ED4:EG4)</f>
        <v>79.983197506908937</v>
      </c>
    </row>
    <row r="5" spans="1:158" x14ac:dyDescent="0.15">
      <c r="A5" s="60" t="str">
        <f t="shared" si="11"/>
        <v>2005_3</v>
      </c>
      <c r="B5" s="31">
        <v>2005</v>
      </c>
      <c r="C5" s="6" t="s">
        <v>23</v>
      </c>
      <c r="D5" s="12">
        <v>44.099999999999994</v>
      </c>
      <c r="E5" s="12">
        <v>54.3</v>
      </c>
      <c r="F5" s="12">
        <v>62.7</v>
      </c>
      <c r="G5" s="12">
        <v>63</v>
      </c>
      <c r="H5" s="12">
        <v>33.299999999999997</v>
      </c>
      <c r="I5" s="12">
        <v>51.3</v>
      </c>
      <c r="J5" s="12">
        <v>41.1</v>
      </c>
      <c r="K5" s="12">
        <v>57.9</v>
      </c>
      <c r="L5" s="12">
        <v>65.7</v>
      </c>
      <c r="M5" s="12">
        <v>82.2</v>
      </c>
      <c r="N5" s="12">
        <v>96</v>
      </c>
      <c r="O5" s="12">
        <v>89.699999999999989</v>
      </c>
      <c r="P5" s="12">
        <v>84.899999999999991</v>
      </c>
      <c r="Q5" s="12">
        <v>87.9</v>
      </c>
      <c r="R5" s="12">
        <v>90.6</v>
      </c>
      <c r="S5" s="12">
        <v>73.8</v>
      </c>
      <c r="T5" s="12">
        <v>39.599999999999994</v>
      </c>
      <c r="U5" s="12">
        <v>18.3</v>
      </c>
      <c r="V5" s="12">
        <v>9</v>
      </c>
      <c r="W5" s="12">
        <v>1.2</v>
      </c>
      <c r="X5" s="12">
        <v>0.6</v>
      </c>
      <c r="Y5" s="12">
        <v>1147.1999999999998</v>
      </c>
      <c r="Z5" s="12">
        <f t="shared" si="12"/>
        <v>70.2</v>
      </c>
      <c r="AA5" s="12">
        <f t="shared" si="13"/>
        <v>37.68</v>
      </c>
      <c r="AB5" s="12">
        <f t="shared" si="0"/>
        <v>321</v>
      </c>
      <c r="AC5" s="12">
        <f t="shared" si="14"/>
        <v>142.49999999999997</v>
      </c>
      <c r="AD5" s="16">
        <f t="shared" si="15"/>
        <v>0.27981171548117162</v>
      </c>
      <c r="AE5" s="16">
        <f t="shared" si="16"/>
        <v>0.12421548117154811</v>
      </c>
      <c r="AF5" s="12">
        <f t="shared" si="17"/>
        <v>183.6</v>
      </c>
      <c r="AH5" s="60"/>
      <c r="AI5" s="29" t="s">
        <v>91</v>
      </c>
      <c r="AJ5" s="4">
        <f>管理者入力シート!B7</f>
        <v>2010</v>
      </c>
      <c r="AK5" s="4">
        <f>管理者入力シート!B6</f>
        <v>2015</v>
      </c>
      <c r="AL5" s="32" t="s">
        <v>21</v>
      </c>
      <c r="AM5" s="7">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0.73493975903614461</v>
      </c>
      <c r="AN5" s="7">
        <f t="shared" si="1"/>
        <v>0.91208791208791207</v>
      </c>
      <c r="AO5" s="7">
        <f t="shared" si="1"/>
        <v>0.82926829268292679</v>
      </c>
      <c r="AP5" s="7">
        <f t="shared" si="1"/>
        <v>0.57894736842105254</v>
      </c>
      <c r="AQ5" s="7">
        <f t="shared" si="1"/>
        <v>1.02</v>
      </c>
      <c r="AR5" s="7">
        <f t="shared" si="1"/>
        <v>0.96774193548387111</v>
      </c>
      <c r="AS5" s="7">
        <f t="shared" si="1"/>
        <v>0.94871794871794879</v>
      </c>
      <c r="AT5" s="7">
        <f t="shared" si="1"/>
        <v>1.0294117647058825</v>
      </c>
      <c r="AU5" s="7">
        <f t="shared" si="1"/>
        <v>0.94285714285714284</v>
      </c>
      <c r="AV5" s="7">
        <f t="shared" si="1"/>
        <v>1.03</v>
      </c>
      <c r="AW5" s="7">
        <f t="shared" si="1"/>
        <v>0.9859154929577465</v>
      </c>
      <c r="AX5" s="7">
        <f t="shared" si="1"/>
        <v>1</v>
      </c>
      <c r="AY5" s="7">
        <f t="shared" si="1"/>
        <v>0.97368421052631571</v>
      </c>
      <c r="AZ5" s="7">
        <f t="shared" si="1"/>
        <v>0.89999999999999991</v>
      </c>
      <c r="BA5" s="7">
        <f t="shared" si="1"/>
        <v>0.93333333333333324</v>
      </c>
      <c r="BB5" s="7">
        <f t="shared" si="1"/>
        <v>0.78399999999999992</v>
      </c>
      <c r="BC5" s="7">
        <f t="shared" si="1"/>
        <v>0.7191011235955056</v>
      </c>
      <c r="BD5" s="7">
        <f t="shared" si="1"/>
        <v>0.38235294117647062</v>
      </c>
      <c r="BE5" s="7">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7">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60" t="str">
        <f t="shared" si="19"/>
        <v>2025_3</v>
      </c>
      <c r="BI5" s="31">
        <f>BI4</f>
        <v>2025</v>
      </c>
      <c r="BJ5" s="6" t="s">
        <v>23</v>
      </c>
      <c r="BK5" s="17">
        <f>BK3+BK4</f>
        <v>19.181794099894802</v>
      </c>
      <c r="BL5" s="17">
        <f t="shared" ref="BL5:CE5" si="46">BL3+BL4</f>
        <v>24.619313214292504</v>
      </c>
      <c r="BM5" s="17">
        <f t="shared" si="46"/>
        <v>37.803610161305045</v>
      </c>
      <c r="BN5" s="17">
        <f t="shared" si="46"/>
        <v>30.240133706241778</v>
      </c>
      <c r="BO5" s="17">
        <f t="shared" si="46"/>
        <v>19.137821217609751</v>
      </c>
      <c r="BP5" s="17">
        <f t="shared" si="46"/>
        <v>22.193871799008548</v>
      </c>
      <c r="BQ5" s="17">
        <f t="shared" si="46"/>
        <v>21.629497864555397</v>
      </c>
      <c r="BR5" s="17">
        <f t="shared" si="46"/>
        <v>27.90607373311154</v>
      </c>
      <c r="BS5" s="17">
        <f t="shared" si="46"/>
        <v>39.001310712766987</v>
      </c>
      <c r="BT5" s="17">
        <f t="shared" si="46"/>
        <v>49.862278797274755</v>
      </c>
      <c r="BU5" s="17">
        <f t="shared" si="46"/>
        <v>53.550875236711107</v>
      </c>
      <c r="BV5" s="17">
        <f t="shared" si="46"/>
        <v>55.519866849078582</v>
      </c>
      <c r="BW5" s="17">
        <f t="shared" si="46"/>
        <v>62.181998853375234</v>
      </c>
      <c r="BX5" s="17">
        <f t="shared" si="46"/>
        <v>76.858593727842674</v>
      </c>
      <c r="BY5" s="17">
        <f t="shared" si="46"/>
        <v>86.306544647321999</v>
      </c>
      <c r="BZ5" s="17">
        <f t="shared" si="46"/>
        <v>81.024823205254762</v>
      </c>
      <c r="CA5" s="17">
        <f t="shared" si="46"/>
        <v>64.71165325381078</v>
      </c>
      <c r="CB5" s="17">
        <f t="shared" si="46"/>
        <v>51.648503019540058</v>
      </c>
      <c r="CC5" s="17">
        <f t="shared" si="46"/>
        <v>31.708985552487334</v>
      </c>
      <c r="CD5" s="17">
        <f t="shared" si="46"/>
        <v>5.2477104749262455</v>
      </c>
      <c r="CE5" s="17">
        <f t="shared" si="46"/>
        <v>0.13057313711507998</v>
      </c>
      <c r="CF5" s="12">
        <f>SUM(BK5:CE5)</f>
        <v>860.46583326352504</v>
      </c>
      <c r="CG5" s="12">
        <f t="shared" si="20"/>
        <v>37.453754025358535</v>
      </c>
      <c r="CH5" s="12">
        <f t="shared" si="21"/>
        <v>21.169470805770374</v>
      </c>
      <c r="CI5" s="12">
        <f t="shared" si="3"/>
        <v>397.63738701829891</v>
      </c>
      <c r="CJ5" s="12">
        <f t="shared" si="22"/>
        <v>234.47224864313424</v>
      </c>
      <c r="CK5" s="16">
        <f t="shared" si="23"/>
        <v>0.46211874039223944</v>
      </c>
      <c r="CL5" s="16">
        <f t="shared" si="24"/>
        <v>0.27249454839344572</v>
      </c>
      <c r="CM5" s="12">
        <f t="shared" si="25"/>
        <v>90.867264614285233</v>
      </c>
      <c r="CO5" s="60" t="str">
        <f t="shared" si="26"/>
        <v>2025_3</v>
      </c>
      <c r="CP5" s="31">
        <f>CP4</f>
        <v>2025</v>
      </c>
      <c r="CQ5" s="6" t="s">
        <v>23</v>
      </c>
      <c r="CR5" s="17">
        <f>CR3+CR4</f>
        <v>21.181794099894802</v>
      </c>
      <c r="CS5" s="17">
        <f t="shared" ref="CS5" si="47">CS3+CS4</f>
        <v>24.619313214292504</v>
      </c>
      <c r="CT5" s="17">
        <f t="shared" ref="CT5" si="48">CT3+CT4</f>
        <v>39.803610161305045</v>
      </c>
      <c r="CU5" s="17">
        <f t="shared" ref="CU5" si="49">CU3+CU4</f>
        <v>30.240133706241778</v>
      </c>
      <c r="CV5" s="17">
        <f t="shared" ref="CV5" si="50">CV3+CV4</f>
        <v>19.137821217609751</v>
      </c>
      <c r="CW5" s="17">
        <f t="shared" ref="CW5" si="51">CW3+CW4</f>
        <v>26.193871799008548</v>
      </c>
      <c r="CX5" s="17">
        <f t="shared" ref="CX5" si="52">CX3+CX4</f>
        <v>21.629497864555397</v>
      </c>
      <c r="CY5" s="17">
        <f t="shared" ref="CY5" si="53">CY3+CY4</f>
        <v>27.90607373311154</v>
      </c>
      <c r="CZ5" s="17">
        <f t="shared" ref="CZ5" si="54">CZ3+CZ4</f>
        <v>40.001310712766987</v>
      </c>
      <c r="DA5" s="17">
        <f t="shared" ref="DA5" si="55">DA3+DA4</f>
        <v>49.862278797274755</v>
      </c>
      <c r="DB5" s="17">
        <f t="shared" ref="DB5" si="56">DB3+DB4</f>
        <v>53.550875236711107</v>
      </c>
      <c r="DC5" s="17">
        <f t="shared" ref="DC5" si="57">DC3+DC4</f>
        <v>55.519866849078582</v>
      </c>
      <c r="DD5" s="17">
        <f t="shared" ref="DD5" si="58">DD3+DD4</f>
        <v>62.181998853375234</v>
      </c>
      <c r="DE5" s="17">
        <f t="shared" ref="DE5" si="59">DE3+DE4</f>
        <v>76.858593727842674</v>
      </c>
      <c r="DF5" s="17">
        <f t="shared" ref="DF5" si="60">DF3+DF4</f>
        <v>86.306544647321999</v>
      </c>
      <c r="DG5" s="17">
        <f t="shared" ref="DG5" si="61">DG3+DG4</f>
        <v>81.024823205254762</v>
      </c>
      <c r="DH5" s="17">
        <f t="shared" ref="DH5" si="62">DH3+DH4</f>
        <v>64.71165325381078</v>
      </c>
      <c r="DI5" s="17">
        <f t="shared" ref="DI5" si="63">DI3+DI4</f>
        <v>51.648503019540058</v>
      </c>
      <c r="DJ5" s="17">
        <f t="shared" ref="DJ5" si="64">DJ3+DJ4</f>
        <v>31.708985552487334</v>
      </c>
      <c r="DK5" s="17">
        <f t="shared" ref="DK5" si="65">DK3+DK4</f>
        <v>5.2477104749262455</v>
      </c>
      <c r="DL5" s="17">
        <f t="shared" ref="DL5" si="66">DL3+DL4</f>
        <v>0.13057313711507998</v>
      </c>
      <c r="DM5" s="12">
        <f>SUM(CR5:DL5)</f>
        <v>869.46583326352504</v>
      </c>
      <c r="DN5" s="12">
        <f t="shared" si="34"/>
        <v>38.653754025358531</v>
      </c>
      <c r="DO5" s="12">
        <f t="shared" si="35"/>
        <v>21.969470805770371</v>
      </c>
      <c r="DP5" s="12">
        <f t="shared" si="6"/>
        <v>397.63738701829891</v>
      </c>
      <c r="DQ5" s="12">
        <f t="shared" si="36"/>
        <v>234.47224864313424</v>
      </c>
      <c r="DR5" s="16">
        <f t="shared" si="37"/>
        <v>0.45733526471738839</v>
      </c>
      <c r="DS5" s="16">
        <f t="shared" si="38"/>
        <v>0.2696739074415917</v>
      </c>
      <c r="DT5" s="12">
        <f>SUM(CV5:CY5)</f>
        <v>94.867264614285247</v>
      </c>
      <c r="DV5" s="338"/>
      <c r="DW5" s="339"/>
      <c r="DX5" s="31">
        <f>DX4</f>
        <v>2025</v>
      </c>
      <c r="DY5" s="6" t="s">
        <v>23</v>
      </c>
      <c r="DZ5" s="17">
        <f>DZ3+DZ4</f>
        <v>19.181794099894802</v>
      </c>
      <c r="EA5" s="17">
        <f t="shared" ref="EA5:ET5" si="67">EA3+EA4</f>
        <v>24.619313214292504</v>
      </c>
      <c r="EB5" s="17">
        <f t="shared" si="67"/>
        <v>37.803610161305045</v>
      </c>
      <c r="EC5" s="17">
        <f t="shared" si="67"/>
        <v>30.240133706241778</v>
      </c>
      <c r="ED5" s="17">
        <f t="shared" si="67"/>
        <v>19.137821217609751</v>
      </c>
      <c r="EE5" s="17">
        <f t="shared" si="67"/>
        <v>44.193871799008548</v>
      </c>
      <c r="EF5" s="17">
        <f t="shared" si="67"/>
        <v>43.629497864555397</v>
      </c>
      <c r="EG5" s="17">
        <f t="shared" si="67"/>
        <v>49.90607373311154</v>
      </c>
      <c r="EH5" s="17">
        <f t="shared" si="67"/>
        <v>39.001310712766987</v>
      </c>
      <c r="EI5" s="17">
        <f t="shared" si="67"/>
        <v>49.862278797274755</v>
      </c>
      <c r="EJ5" s="17">
        <f t="shared" si="67"/>
        <v>53.550875236711107</v>
      </c>
      <c r="EK5" s="17">
        <f t="shared" si="67"/>
        <v>55.519866849078582</v>
      </c>
      <c r="EL5" s="17">
        <f t="shared" si="67"/>
        <v>62.181998853375234</v>
      </c>
      <c r="EM5" s="17">
        <f t="shared" si="67"/>
        <v>76.858593727842674</v>
      </c>
      <c r="EN5" s="17">
        <f t="shared" si="67"/>
        <v>86.306544647321999</v>
      </c>
      <c r="EO5" s="17">
        <f t="shared" si="67"/>
        <v>81.024823205254762</v>
      </c>
      <c r="EP5" s="17">
        <f t="shared" si="67"/>
        <v>64.71165325381078</v>
      </c>
      <c r="EQ5" s="17">
        <f t="shared" si="67"/>
        <v>51.648503019540058</v>
      </c>
      <c r="ER5" s="17">
        <f t="shared" si="67"/>
        <v>31.708985552487334</v>
      </c>
      <c r="ES5" s="17">
        <f t="shared" si="67"/>
        <v>5.2477104749262455</v>
      </c>
      <c r="ET5" s="17">
        <f t="shared" si="67"/>
        <v>0.13057313711507998</v>
      </c>
      <c r="EU5" s="12">
        <f>SUM(DZ5:ET5)</f>
        <v>926.46583326352504</v>
      </c>
      <c r="EV5" s="12">
        <f t="shared" si="41"/>
        <v>37.453754025358535</v>
      </c>
      <c r="EW5" s="12">
        <f t="shared" si="42"/>
        <v>21.169470805770374</v>
      </c>
      <c r="EX5" s="12">
        <f t="shared" si="10"/>
        <v>397.63738701829891</v>
      </c>
      <c r="EY5" s="12">
        <f t="shared" si="43"/>
        <v>234.47224864313424</v>
      </c>
      <c r="EZ5" s="16">
        <f t="shared" si="44"/>
        <v>0.42919811259266855</v>
      </c>
      <c r="FA5" s="16">
        <f t="shared" si="45"/>
        <v>0.25308245617347086</v>
      </c>
      <c r="FB5" s="12">
        <f>SUM(ED5:EG5)</f>
        <v>156.86726461428526</v>
      </c>
    </row>
    <row r="6" spans="1:158" x14ac:dyDescent="0.15">
      <c r="A6" s="60" t="str">
        <f t="shared" si="11"/>
        <v>2010_1</v>
      </c>
      <c r="B6" s="29">
        <v>2010</v>
      </c>
      <c r="C6" s="4" t="s">
        <v>21</v>
      </c>
      <c r="D6" s="10">
        <v>24.9</v>
      </c>
      <c r="E6" s="10">
        <v>27.3</v>
      </c>
      <c r="F6" s="10">
        <v>24.599999999999998</v>
      </c>
      <c r="G6" s="10">
        <v>22.8</v>
      </c>
      <c r="H6" s="10">
        <v>15</v>
      </c>
      <c r="I6" s="10">
        <v>18.599999999999998</v>
      </c>
      <c r="J6" s="10">
        <v>23.4</v>
      </c>
      <c r="K6" s="10">
        <v>20.399999999999999</v>
      </c>
      <c r="L6" s="10">
        <v>31.5</v>
      </c>
      <c r="M6" s="10">
        <v>30</v>
      </c>
      <c r="N6" s="10">
        <v>42.6</v>
      </c>
      <c r="O6" s="10">
        <v>46.199999999999996</v>
      </c>
      <c r="P6" s="10">
        <v>45.6</v>
      </c>
      <c r="Q6" s="10">
        <v>36</v>
      </c>
      <c r="R6" s="10">
        <v>40.5</v>
      </c>
      <c r="S6" s="10">
        <v>37.5</v>
      </c>
      <c r="T6" s="10">
        <v>26.7</v>
      </c>
      <c r="U6" s="10">
        <v>10.199999999999999</v>
      </c>
      <c r="V6" s="10">
        <v>2.6999999999999997</v>
      </c>
      <c r="W6" s="10">
        <v>0.3</v>
      </c>
      <c r="X6" s="10">
        <v>0</v>
      </c>
      <c r="Y6" s="10">
        <v>526.80000000000007</v>
      </c>
      <c r="Z6" s="10">
        <f t="shared" si="12"/>
        <v>31.14</v>
      </c>
      <c r="AA6" s="10">
        <f t="shared" si="13"/>
        <v>14.4</v>
      </c>
      <c r="AB6" s="10">
        <f t="shared" si="0"/>
        <v>153.89999999999998</v>
      </c>
      <c r="AC6" s="10">
        <f t="shared" si="14"/>
        <v>77.400000000000006</v>
      </c>
      <c r="AD6" s="14">
        <f t="shared" si="15"/>
        <v>0.29214123006833703</v>
      </c>
      <c r="AE6" s="14">
        <f t="shared" si="16"/>
        <v>0.14692482915717539</v>
      </c>
      <c r="AF6" s="10">
        <f t="shared" si="17"/>
        <v>77.399999999999991</v>
      </c>
      <c r="AH6" s="60"/>
      <c r="AI6" s="31" t="s">
        <v>91</v>
      </c>
      <c r="AJ6" s="6">
        <f>AJ5</f>
        <v>2010</v>
      </c>
      <c r="AK6" s="6">
        <f>AK5</f>
        <v>2015</v>
      </c>
      <c r="AL6" s="34" t="s">
        <v>22</v>
      </c>
      <c r="AM6" s="211">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1.0566037735849059</v>
      </c>
      <c r="AN6" s="211">
        <f t="shared" si="18"/>
        <v>1.1029411764705883</v>
      </c>
      <c r="AO6" s="211">
        <f t="shared" si="18"/>
        <v>0.78787878787878785</v>
      </c>
      <c r="AP6" s="211">
        <f t="shared" si="18"/>
        <v>0.53731343283582089</v>
      </c>
      <c r="AQ6" s="211">
        <f t="shared" si="18"/>
        <v>0.75</v>
      </c>
      <c r="AR6" s="211">
        <f t="shared" si="18"/>
        <v>1</v>
      </c>
      <c r="AS6" s="211">
        <f t="shared" si="18"/>
        <v>0.9772727272727274</v>
      </c>
      <c r="AT6" s="211">
        <f t="shared" si="18"/>
        <v>1.1097560975609757</v>
      </c>
      <c r="AU6" s="211">
        <f t="shared" si="18"/>
        <v>1</v>
      </c>
      <c r="AV6" s="211">
        <f t="shared" si="18"/>
        <v>0.94117647058823539</v>
      </c>
      <c r="AW6" s="211">
        <f t="shared" si="18"/>
        <v>1.0223880597014927</v>
      </c>
      <c r="AX6" s="211">
        <f t="shared" si="18"/>
        <v>0.99390243902439035</v>
      </c>
      <c r="AY6" s="211">
        <f t="shared" si="18"/>
        <v>1</v>
      </c>
      <c r="AZ6" s="211">
        <f t="shared" si="18"/>
        <v>0.9748427672955976</v>
      </c>
      <c r="BA6" s="211">
        <f t="shared" si="18"/>
        <v>0.94326241134751776</v>
      </c>
      <c r="BB6" s="211">
        <f t="shared" si="18"/>
        <v>0.9673202614379085</v>
      </c>
      <c r="BC6" s="211">
        <f t="shared" si="18"/>
        <v>0.86178861788617878</v>
      </c>
      <c r="BD6" s="211">
        <f t="shared" si="18"/>
        <v>0.84883720930232553</v>
      </c>
      <c r="BE6" s="211">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0.35416666666666669</v>
      </c>
      <c r="BF6" s="211">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60" t="str">
        <f t="shared" si="19"/>
        <v>2030_1</v>
      </c>
      <c r="BI6" s="29">
        <f>管理者入力シート!B9</f>
        <v>2030</v>
      </c>
      <c r="BJ6" s="4" t="s">
        <v>21</v>
      </c>
      <c r="BK6" s="10">
        <f>CM7*$AK$13</f>
        <v>7.7102266898614751</v>
      </c>
      <c r="BL6" s="10">
        <f>IF(管理者入力シート!$B$14=1,BK3*管理者用人口入力シート!AM$3,IF(管理者入力シート!$B$14=2,BK3*管理者用人口入力シート!AM$7))</f>
        <v>8.0422962338363995</v>
      </c>
      <c r="BM6" s="10">
        <f>IF(管理者入力シート!$B$14=1,BL3*管理者用人口入力シート!AN$3,IF(管理者入力シート!$B$14=2,BL3*管理者用人口入力シート!AN$7))</f>
        <v>9.6751480901347318</v>
      </c>
      <c r="BN6" s="10">
        <f>IF(管理者入力シート!$B$14=1,BM3*管理者用人口入力シート!AO$3,IF(管理者入力シート!$B$14=2,BM3*管理者用人口入力シート!AO$7))</f>
        <v>14.899455107318587</v>
      </c>
      <c r="BO6" s="10">
        <f>IF(管理者入力シート!$B$14=1,BN3*管理者用人口入力シート!AP$3,IF(管理者入力シート!$B$14=2,BN3*管理者用人口入力シート!AP$7))</f>
        <v>7.8805911285223988</v>
      </c>
      <c r="BP6" s="10">
        <f>IF(管理者入力シート!$B$14=1,BO3*管理者用人口入力シート!AQ$3,IF(管理者入力シート!$B$14=2,BO3*管理者用人口入力シート!AQ$7))</f>
        <v>8.8644529620157311</v>
      </c>
      <c r="BQ6" s="10">
        <f>IF(管理者入力シート!$B$14=1,BP3*管理者用人口入力シート!AR$3,IF(管理者入力シート!$B$14=2,BP3*管理者用人口入力シート!AR$7))</f>
        <v>8.0084266470202383</v>
      </c>
      <c r="BR6" s="10">
        <f>IF(管理者入力シート!$B$14=1,BQ3*管理者用人口入力シート!AS$3,IF(管理者入力シート!$B$14=2,BQ3*管理者用人口入力シート!AS$7))</f>
        <v>10.827639424511013</v>
      </c>
      <c r="BS6" s="10">
        <f>IF(管理者入力シート!$B$14=1,BR3*管理者用人口入力シート!AT$3,IF(管理者入力シート!$B$14=2,BR3*管理者用人口入力シート!AT$7))</f>
        <v>15.874757275373888</v>
      </c>
      <c r="BT6" s="10">
        <f>IF(管理者入力シート!$B$14=1,BS3*管理者用人口入力シート!AU$3,IF(管理者入力シート!$B$14=2,BS3*管理者用人口入力シート!AU$7))</f>
        <v>21.047515968823248</v>
      </c>
      <c r="BU6" s="10">
        <f>IF(管理者入力シート!$B$14=1,BT3*管理者用人口入力シート!AV$3,IF(管理者入力シート!$B$14=2,BT3*管理者用人口入力シート!AV$7))</f>
        <v>23.205491369809124</v>
      </c>
      <c r="BV6" s="10">
        <f>IF(管理者入力シート!$B$14=1,BU3*管理者用人口入力シート!AW$3,IF(管理者入力シート!$B$14=2,BU3*管理者用人口入力シート!AW$7))</f>
        <v>22.699198968307602</v>
      </c>
      <c r="BW6" s="10">
        <f>IF(管理者入力シート!$B$14=1,BV3*管理者用人口入力シート!AX$3,IF(管理者入力シート!$B$14=2,BV3*管理者用人口入力シート!AX$7))</f>
        <v>27.287394288397309</v>
      </c>
      <c r="BX6" s="10">
        <f>IF(管理者入力シート!$B$14=1,BW3*管理者用人口入力シート!AY$3,IF(管理者入力シート!$B$14=2,BW3*管理者用人口入力シート!AY$7))</f>
        <v>27.568208610438816</v>
      </c>
      <c r="BY6" s="10">
        <f>IF(管理者入力シート!$B$14=1,BX3*管理者用人口入力シート!AZ$3,IF(管理者入力シート!$B$14=2,BX3*管理者用人口入力シート!AZ$7))</f>
        <v>34.097522137129005</v>
      </c>
      <c r="BZ6" s="10">
        <f>IF(管理者入力シート!$B$14=1,BY3*管理者用人口入力シート!BA$3,IF(管理者入力シート!$B$14=2,BY3*管理者用人口入力シート!BA$7))</f>
        <v>36.774511902616396</v>
      </c>
      <c r="CA6" s="10">
        <f>IF(管理者入力シート!$B$14=1,BZ3*管理者用人口入力シート!BB$3,IF(管理者入力シート!$B$14=2,BZ3*管理者用人口入力シート!BB$7))</f>
        <v>31.012213164063812</v>
      </c>
      <c r="CB6" s="10">
        <f>IF(管理者入力シート!$B$14=1,CA3*管理者用人口入力シート!BC$3,IF(管理者入力シート!$B$14=2,CA3*管理者用人口入力シート!BC$7))</f>
        <v>17.368224220808226</v>
      </c>
      <c r="CC6" s="10">
        <f>IF(管理者入力シート!$B$14=1,CB3*管理者用人口入力シート!BD$3,IF(管理者入力シート!$B$14=2,CB3*管理者用人口入力シート!BD$7))</f>
        <v>9.4884380193785081</v>
      </c>
      <c r="CD6" s="10">
        <f>IF(管理者入力シート!$B$14=1,CC3*管理者用人口入力シート!BE$3,IF(管理者入力シート!$B$14=2,CC3*管理者用人口入力シート!BE$7))</f>
        <v>9.5907584193755772E-3</v>
      </c>
      <c r="CE6" s="10">
        <f>IF(管理者入力シート!$B$14=1,CD3*管理者用人口入力シート!BF$3,IF(管理者入力シート!$B$14=2,CD3*管理者用人口入力シート!BF$7))</f>
        <v>9.9000000000000018E-6</v>
      </c>
      <c r="CF6" s="10">
        <f t="shared" si="2"/>
        <v>342.34131286678598</v>
      </c>
      <c r="CG6" s="10">
        <f t="shared" si="20"/>
        <v>10.630466594382678</v>
      </c>
      <c r="CH6" s="10">
        <f t="shared" si="21"/>
        <v>6.8499502575176106</v>
      </c>
      <c r="CI6" s="10">
        <f t="shared" si="3"/>
        <v>156.31871871285415</v>
      </c>
      <c r="CJ6" s="10">
        <f t="shared" si="22"/>
        <v>94.652987965286314</v>
      </c>
      <c r="CK6" s="14">
        <f t="shared" si="23"/>
        <v>0.45661657777681619</v>
      </c>
      <c r="CL6" s="14">
        <f t="shared" si="24"/>
        <v>0.27648719102189773</v>
      </c>
      <c r="CM6" s="10">
        <f t="shared" si="25"/>
        <v>35.581110162069379</v>
      </c>
      <c r="CO6" s="60" t="str">
        <f t="shared" si="26"/>
        <v>2030_1</v>
      </c>
      <c r="CP6" s="29">
        <f>管理者入力シート!B9</f>
        <v>2030</v>
      </c>
      <c r="CQ6" s="4" t="s">
        <v>21</v>
      </c>
      <c r="CR6" s="10">
        <f>DT7*$AK$13+将来予測シート②!$G17</f>
        <v>9.4428877819029751</v>
      </c>
      <c r="CS6" s="10">
        <f>IF(管理者入力シート!$B$14=1,CR3*管理者用人口入力シート!AM$3,IF(管理者入力シート!$B$14=2,CR3*管理者用人口入力シート!AM$7))+将来予測シート②!$G18</f>
        <v>8.9769660354773695</v>
      </c>
      <c r="CT6" s="10">
        <f>IF(管理者入力シート!$B$14=1,CS3*管理者用人口入力シート!AN$3,IF(管理者入力シート!$B$14=2,CS3*管理者用人口入力シート!AN$7))+将来予測シート②!$G19</f>
        <v>10.675148090134732</v>
      </c>
      <c r="CU6" s="10">
        <f>IF(管理者入力シート!$B$14=1,CT3*管理者用人口入力シート!AO$3,IF(管理者入力シート!$B$14=2,CT3*管理者用人口入力シート!AO$7))+将来予測シート②!$G20</f>
        <v>15.699102399534524</v>
      </c>
      <c r="CV6" s="10">
        <f>IF(管理者入力シート!$B$14=1,CU3*管理者用人口入力シート!AP$3,IF(管理者入力シート!$B$14=2,CU3*管理者用人口入力シート!AP$7))+将来予測シート②!$G21</f>
        <v>7.8805911285223988</v>
      </c>
      <c r="CW6" s="10">
        <f>IF(管理者入力シート!$B$14=1,CV3*管理者用人口入力シート!AQ$3,IF(管理者入力シート!$B$14=2,CV3*管理者用人口入力シート!AQ$7))+将来予測シート②!$G22</f>
        <v>10.864452962015731</v>
      </c>
      <c r="CX6" s="10">
        <f>IF(管理者入力シート!$B$14=1,CW3*管理者用人口入力シート!AR$3,IF(管理者入力シート!$B$14=2,CW3*管理者用人口入力シート!AR$7))+将来予測シート②!$G23</f>
        <v>9.9565196667865532</v>
      </c>
      <c r="CY6" s="10">
        <f>IF(管理者入力シート!$B$14=1,CX3*管理者用人口入力シート!AS$3,IF(管理者入力シート!$B$14=2,CX3*管理者用人口入力シート!AS$7))+将来予測シート②!$G24</f>
        <v>10.827639424511013</v>
      </c>
      <c r="CZ6" s="10">
        <f>IF(管理者入力シート!$B$14=1,CY3*管理者用人口入力シート!AT$3,IF(管理者入力シート!$B$14=2,CY3*管理者用人口入力シート!AT$7))+将来予測シート②!$G25</f>
        <v>15.874757275373888</v>
      </c>
      <c r="DA6" s="10">
        <f>IF(管理者入力シート!$B$14=1,CZ3*管理者用人口入力シート!AU$3,IF(管理者入力シート!$B$14=2,CZ3*管理者用人口入力シート!AU$7))+将来予測シート②!$G26</f>
        <v>21.047515968823248</v>
      </c>
      <c r="DB6" s="10">
        <f>IF(管理者入力シート!$B$14=1,DA3*管理者用人口入力シート!AV$3,IF(管理者入力シート!$B$14=2,DA3*管理者用人口入力シート!AV$7))+将来予測シート②!$G27</f>
        <v>23.205491369809124</v>
      </c>
      <c r="DC6" s="10">
        <f>IF(管理者入力シート!$B$14=1,DB3*管理者用人口入力シート!AW$3,IF(管理者入力シート!$B$14=2,DB3*管理者用人口入力シート!AW$7))+将来予測シート②!$G28</f>
        <v>22.699198968307602</v>
      </c>
      <c r="DD6" s="10">
        <f>IF(管理者入力シート!$B$14=1,DC3*管理者用人口入力シート!AX$3,IF(管理者入力シート!$B$14=2,DC3*管理者用人口入力シート!AX$7))+将来予測シート②!$G29</f>
        <v>27.287394288397309</v>
      </c>
      <c r="DE6" s="10">
        <f>IF(管理者入力シート!$B$14=1,DD3*管理者用人口入力シート!AY$3,IF(管理者入力シート!$B$14=2,DD3*管理者用人口入力シート!AY$7))</f>
        <v>27.568208610438816</v>
      </c>
      <c r="DF6" s="10">
        <f>IF(管理者入力シート!$B$14=1,DE3*管理者用人口入力シート!AZ$3,IF(管理者入力シート!$B$14=2,DE3*管理者用人口入力シート!AZ$7))</f>
        <v>34.097522137129005</v>
      </c>
      <c r="DG6" s="10">
        <f>IF(管理者入力シート!$B$14=1,DF3*管理者用人口入力シート!BA$3,IF(管理者入力シート!$B$14=2,DF3*管理者用人口入力シート!BA$7))</f>
        <v>36.774511902616396</v>
      </c>
      <c r="DH6" s="10">
        <f>IF(管理者入力シート!$B$14=1,DG3*管理者用人口入力シート!BB$3,IF(管理者入力シート!$B$14=2,DG3*管理者用人口入力シート!BB$7))</f>
        <v>31.012213164063812</v>
      </c>
      <c r="DI6" s="10">
        <f>IF(管理者入力シート!$B$14=1,DH3*管理者用人口入力シート!BC$3,IF(管理者入力シート!$B$14=2,DH3*管理者用人口入力シート!BC$7))</f>
        <v>17.368224220808226</v>
      </c>
      <c r="DJ6" s="10">
        <f>IF(管理者入力シート!$B$14=1,DI3*管理者用人口入力シート!BD$3,IF(管理者入力シート!$B$14=2,DI3*管理者用人口入力シート!BD$7))</f>
        <v>9.4884380193785081</v>
      </c>
      <c r="DK6" s="10">
        <f>IF(管理者入力シート!$B$14=1,DJ3*管理者用人口入力シート!BE$3,IF(管理者入力シート!$B$14=2,DJ3*管理者用人口入力シート!BE$7))</f>
        <v>9.5907584193755772E-3</v>
      </c>
      <c r="DL6" s="10">
        <f>IF(管理者入力シート!$B$14=1,DK3*管理者用人口入力シート!BF$3,IF(管理者入力シート!$B$14=2,DK3*管理者用人口入力シート!BF$7))</f>
        <v>9.9000000000000018E-6</v>
      </c>
      <c r="DM6" s="10">
        <f t="shared" ref="DM6:DM14" si="68">SUM(CR6:DL6)</f>
        <v>350.7563840724506</v>
      </c>
      <c r="DN6" s="10">
        <f t="shared" si="34"/>
        <v>11.791268475367261</v>
      </c>
      <c r="DO6" s="10">
        <f t="shared" si="35"/>
        <v>7.4098797159607974</v>
      </c>
      <c r="DP6" s="10">
        <f t="shared" si="6"/>
        <v>156.31871871285415</v>
      </c>
      <c r="DQ6" s="10">
        <f t="shared" si="36"/>
        <v>94.652987965286314</v>
      </c>
      <c r="DR6" s="14">
        <f t="shared" si="37"/>
        <v>0.44566179209033496</v>
      </c>
      <c r="DS6" s="14">
        <f t="shared" si="38"/>
        <v>0.26985392786389095</v>
      </c>
      <c r="DT6" s="10">
        <f t="shared" ref="DT6:DT14" si="69">SUM(CV6:CY6)</f>
        <v>39.529203181835697</v>
      </c>
      <c r="DV6" s="60" t="s">
        <v>400</v>
      </c>
      <c r="DX6" s="29">
        <f>管理者入力シート!B9</f>
        <v>2030</v>
      </c>
      <c r="DY6" s="4" t="s">
        <v>21</v>
      </c>
      <c r="DZ6" s="10">
        <f>FB7*$AK$13</f>
        <v>17.760989862696068</v>
      </c>
      <c r="EA6" s="140">
        <f>IF(管理者入力シート!$B$14=1,DZ3*管理者用人口入力シート!AM$3,IF(管理者入力シート!$B$14=2,DZ3*管理者用人口入力シート!AM$7))</f>
        <v>8.0422962338363995</v>
      </c>
      <c r="EB6" s="10">
        <f>IF(管理者入力シート!$B$14=1,EA3*管理者用人口入力シート!AN$3,IF(管理者入力シート!$B$14=2,EA3*管理者用人口入力シート!AN$7))</f>
        <v>9.6751480901347318</v>
      </c>
      <c r="EC6" s="10">
        <f>IF(管理者入力シート!$B$14=1,EB3*管理者用人口入力シート!AO$3,IF(管理者入力シート!$B$14=2,EB3*管理者用人口入力シート!AO$7))</f>
        <v>14.899455107318587</v>
      </c>
      <c r="ED6" s="10">
        <f>IF(管理者入力シート!$B$14=1,EC3*管理者用人口入力シート!AP$3,IF(管理者入力シート!$B$14=2,EC3*管理者用人口入力シート!AP$7))</f>
        <v>7.8805911285223988</v>
      </c>
      <c r="EE6" s="10">
        <f>IF(管理者入力シート!$B$14=1,ED3*管理者用人口入力シート!AQ$3,IF(管理者入力シート!$B$14=2,ED3*管理者用人口入力シート!AQ$7))+DX1</f>
        <v>19.864452962015733</v>
      </c>
      <c r="EF6" s="10">
        <f>IF(管理者入力シート!$B$14=1,EE3*管理者用人口入力シート!AR$3,IF(管理者入力シート!$B$14=2,EE3*管理者用人口入力シート!AR$7))+DX1</f>
        <v>29.72293825573497</v>
      </c>
      <c r="EG6" s="10">
        <f>IF(管理者入力シート!$B$14=1,EF3*管理者用人口入力シート!AS$3,IF(管理者入力シート!$B$14=2,EF3*管理者用人口入力シート!AS$7))+DX1</f>
        <v>33.14963601687964</v>
      </c>
      <c r="EH6" s="10">
        <f>IF(管理者入力シート!$B$14=1,EG3*管理者用人口入力シート!AT$3,IF(管理者入力シート!$B$14=2,EG3*管理者用人口入力シート!AT$7))</f>
        <v>27.185163024921334</v>
      </c>
      <c r="EI6" s="10">
        <f>IF(管理者入力シート!$B$14=1,EH3*管理者用人口入力シート!AU$3,IF(管理者入力シート!$B$14=2,EH3*管理者用人口入力シート!AU$7))</f>
        <v>21.047515968823248</v>
      </c>
      <c r="EJ6" s="10">
        <f>IF(管理者入力シート!$B$14=1,EI3*管理者用人口入力シート!AV$3,IF(管理者入力シート!$B$14=2,EI3*管理者用人口入力シート!AV$7))</f>
        <v>23.205491369809124</v>
      </c>
      <c r="EK6" s="10">
        <f>IF(管理者入力シート!$B$14=1,EJ3*管理者用人口入力シート!AW$3,IF(管理者入力シート!$B$14=2,EJ3*管理者用人口入力シート!AW$7))</f>
        <v>22.699198968307602</v>
      </c>
      <c r="EL6" s="10">
        <f>IF(管理者入力シート!$B$14=1,EK3*管理者用人口入力シート!AX$3,IF(管理者入力シート!$B$14=2,EK3*管理者用人口入力シート!AX$7))</f>
        <v>27.287394288397309</v>
      </c>
      <c r="EM6" s="10">
        <f>IF(管理者入力シート!$B$14=1,EL3*管理者用人口入力シート!AY$3,IF(管理者入力シート!$B$14=2,EL3*管理者用人口入力シート!AY$7))</f>
        <v>27.568208610438816</v>
      </c>
      <c r="EN6" s="10">
        <f>IF(管理者入力シート!$B$14=1,EM3*管理者用人口入力シート!AZ$3,IF(管理者入力シート!$B$14=2,EM3*管理者用人口入力シート!AZ$7))</f>
        <v>34.097522137129005</v>
      </c>
      <c r="EO6" s="10">
        <f>IF(管理者入力シート!$B$14=1,EN3*管理者用人口入力シート!BA$3,IF(管理者入力シート!$B$14=2,EN3*管理者用人口入力シート!BA$7))</f>
        <v>36.774511902616396</v>
      </c>
      <c r="EP6" s="10">
        <f>IF(管理者入力シート!$B$14=1,EO3*管理者用人口入力シート!BB$3,IF(管理者入力シート!$B$14=2,EO3*管理者用人口入力シート!BB$7))</f>
        <v>31.012213164063812</v>
      </c>
      <c r="EQ6" s="10">
        <f>IF(管理者入力シート!$B$14=1,EP3*管理者用人口入力シート!BC$3,IF(管理者入力シート!$B$14=2,EP3*管理者用人口入力シート!BC$7))</f>
        <v>17.368224220808226</v>
      </c>
      <c r="ER6" s="10">
        <f>IF(管理者入力シート!$B$14=1,EQ3*管理者用人口入力シート!BD$3,IF(管理者入力シート!$B$14=2,EQ3*管理者用人口入力シート!BD$7))</f>
        <v>9.4884380193785081</v>
      </c>
      <c r="ES6" s="10">
        <f>IF(管理者入力シート!$B$14=1,ER3*管理者用人口入力シート!BE$3,IF(管理者入力シート!$B$14=2,ER3*管理者用人口入力シート!BE$7))</f>
        <v>9.5907584193755772E-3</v>
      </c>
      <c r="ET6" s="10">
        <f>IF(管理者入力シート!$B$14=1,ES3*管理者用人口入力シート!BF$3,IF(管理者入力シート!$B$14=2,ES3*管理者用人口入力シート!BF$7))</f>
        <v>9.9000000000000018E-6</v>
      </c>
      <c r="EU6" s="10">
        <f t="shared" ref="EU6:EU14" si="70">SUM(DZ6:ET6)</f>
        <v>418.7389899902513</v>
      </c>
      <c r="EV6" s="10">
        <f t="shared" si="41"/>
        <v>10.630466594382678</v>
      </c>
      <c r="EW6" s="10">
        <f t="shared" si="42"/>
        <v>6.8499502575176106</v>
      </c>
      <c r="EX6" s="10">
        <f t="shared" si="10"/>
        <v>156.31871871285415</v>
      </c>
      <c r="EY6" s="10">
        <f t="shared" si="43"/>
        <v>94.652987965286314</v>
      </c>
      <c r="EZ6" s="14">
        <f t="shared" si="44"/>
        <v>0.37330824797684453</v>
      </c>
      <c r="FA6" s="14">
        <f t="shared" si="45"/>
        <v>0.2260429294331773</v>
      </c>
      <c r="FB6" s="10">
        <f t="shared" ref="FB6:FB14" si="71">SUM(ED6:EG6)</f>
        <v>90.617618363152744</v>
      </c>
    </row>
    <row r="7" spans="1:158" x14ac:dyDescent="0.15">
      <c r="A7" s="60" t="str">
        <f t="shared" si="11"/>
        <v>2010_2</v>
      </c>
      <c r="B7" s="30">
        <v>2010</v>
      </c>
      <c r="C7" s="5" t="s">
        <v>22</v>
      </c>
      <c r="D7" s="11">
        <v>15.899999999999999</v>
      </c>
      <c r="E7" s="11">
        <v>20.399999999999999</v>
      </c>
      <c r="F7" s="11">
        <v>29.7</v>
      </c>
      <c r="G7" s="11">
        <v>20.099999999999998</v>
      </c>
      <c r="H7" s="11">
        <v>16.8</v>
      </c>
      <c r="I7" s="11">
        <v>17.7</v>
      </c>
      <c r="J7" s="11">
        <v>26.4</v>
      </c>
      <c r="K7" s="11">
        <v>24.599999999999998</v>
      </c>
      <c r="L7" s="11">
        <v>26.7</v>
      </c>
      <c r="M7" s="11">
        <v>35.699999999999996</v>
      </c>
      <c r="N7" s="11">
        <v>40.199999999999996</v>
      </c>
      <c r="O7" s="11">
        <v>49.199999999999996</v>
      </c>
      <c r="P7" s="11">
        <v>44.4</v>
      </c>
      <c r="Q7" s="11">
        <v>47.699999999999996</v>
      </c>
      <c r="R7" s="11">
        <v>42.3</v>
      </c>
      <c r="S7" s="11">
        <v>45.9</v>
      </c>
      <c r="T7" s="11">
        <v>36.9</v>
      </c>
      <c r="U7" s="11">
        <v>25.8</v>
      </c>
      <c r="V7" s="11">
        <v>14.399999999999999</v>
      </c>
      <c r="W7" s="11">
        <v>4.5</v>
      </c>
      <c r="X7" s="11">
        <v>0.3</v>
      </c>
      <c r="Y7" s="11">
        <v>585.5999999999998</v>
      </c>
      <c r="Z7" s="11">
        <f t="shared" si="12"/>
        <v>30.06</v>
      </c>
      <c r="AA7" s="11">
        <f t="shared" si="13"/>
        <v>15.899999999999999</v>
      </c>
      <c r="AB7" s="11">
        <f t="shared" si="0"/>
        <v>217.80000000000004</v>
      </c>
      <c r="AC7" s="11">
        <f t="shared" si="14"/>
        <v>127.8</v>
      </c>
      <c r="AD7" s="15">
        <f t="shared" si="15"/>
        <v>0.37192622950819693</v>
      </c>
      <c r="AE7" s="15">
        <f t="shared" si="16"/>
        <v>0.21823770491803285</v>
      </c>
      <c r="AF7" s="11">
        <f t="shared" si="17"/>
        <v>85.5</v>
      </c>
      <c r="AH7" s="60"/>
      <c r="AI7" s="29" t="s">
        <v>88</v>
      </c>
      <c r="AJ7" s="4">
        <f>管理者入力シート!B7</f>
        <v>2010</v>
      </c>
      <c r="AK7" s="4">
        <f>管理者入力シート!B5</f>
        <v>2020</v>
      </c>
      <c r="AL7" s="32" t="s">
        <v>21</v>
      </c>
      <c r="AM7" s="53">
        <f t="shared" ref="AM7:BF8" si="72">IF(AND(AM3&gt;0,AM5&gt;0),SQRT(AM3*AM5),IF(AND(AM3=0,AM5&gt;0),SQRT(0.001*AM5),IF(AND(AM3&gt;0,AM5=0),SQRT(AM3*0.001),IF(AND(AM3=0,AM5=0),SQRT(0.001*0.001)))))</f>
        <v>0.93466980164096891</v>
      </c>
      <c r="AN7" s="53">
        <f t="shared" si="72"/>
        <v>0.98584834305460634</v>
      </c>
      <c r="AO7" s="53">
        <f t="shared" si="72"/>
        <v>0.79964729221593744</v>
      </c>
      <c r="AP7" s="53">
        <f t="shared" si="72"/>
        <v>0.50538891623812521</v>
      </c>
      <c r="AQ7" s="53">
        <f t="shared" si="72"/>
        <v>0.91353459406059412</v>
      </c>
      <c r="AR7" s="53">
        <f t="shared" si="72"/>
        <v>0.97404650988315744</v>
      </c>
      <c r="AS7" s="53">
        <f t="shared" si="72"/>
        <v>1.029272417488057</v>
      </c>
      <c r="AT7" s="53">
        <f t="shared" si="72"/>
        <v>1.0282187045043132</v>
      </c>
      <c r="AU7" s="53">
        <f t="shared" si="72"/>
        <v>1.0184021097498066</v>
      </c>
      <c r="AV7" s="53">
        <f t="shared" si="72"/>
        <v>0.99939375562781996</v>
      </c>
      <c r="AW7" s="53">
        <f t="shared" si="72"/>
        <v>0.98324539297330416</v>
      </c>
      <c r="AX7" s="53">
        <f t="shared" si="72"/>
        <v>0.96362411165943151</v>
      </c>
      <c r="AY7" s="53">
        <f t="shared" si="72"/>
        <v>0.94418752843834464</v>
      </c>
      <c r="AZ7" s="53">
        <f t="shared" si="72"/>
        <v>0.92597647509665837</v>
      </c>
      <c r="BA7" s="53">
        <f t="shared" si="72"/>
        <v>0.93887245219011584</v>
      </c>
      <c r="BB7" s="53">
        <f t="shared" si="72"/>
        <v>0.78088269143180378</v>
      </c>
      <c r="BC7" s="53">
        <f t="shared" si="72"/>
        <v>0.72685568914721821</v>
      </c>
      <c r="BD7" s="53">
        <f t="shared" si="72"/>
        <v>0.44401659348961009</v>
      </c>
      <c r="BE7" s="53">
        <f t="shared" si="72"/>
        <v>1E-3</v>
      </c>
      <c r="BF7" s="53">
        <f t="shared" si="72"/>
        <v>1E-3</v>
      </c>
      <c r="BH7" s="60" t="str">
        <f t="shared" si="19"/>
        <v>2030_2</v>
      </c>
      <c r="BI7" s="30">
        <f>BI6</f>
        <v>2030</v>
      </c>
      <c r="BJ7" s="5" t="s">
        <v>22</v>
      </c>
      <c r="BK7" s="11">
        <f>CM7*$AK$14</f>
        <v>9.4781363155720655</v>
      </c>
      <c r="BL7" s="11">
        <f>IF(管理者入力シート!$B$14=1,BK4*管理者用人口入力シート!AM$4,IF(管理者入力シート!$B$14=2,BK4*管理者用人口入力シート!AM$8))</f>
        <v>12.132468983766303</v>
      </c>
      <c r="BM7" s="11">
        <f>IF(管理者入力シート!$B$14=1,BL4*管理者用人口入力シート!AN$4,IF(管理者入力シート!$B$14=2,BL4*管理者用人口入力シート!AN$8))</f>
        <v>16.884898709432367</v>
      </c>
      <c r="BN7" s="11">
        <f>IF(管理者入力シート!$B$14=1,BM4*管理者用人口入力シート!AO$4,IF(管理者入力シート!$B$14=2,BM4*管理者用人口入力シート!AO$8))</f>
        <v>14.173429243647577</v>
      </c>
      <c r="BO7" s="11">
        <f>IF(管理者入力シート!$B$14=1,BN4*管理者用人口入力シート!AP$4,IF(管理者入力シート!$B$14=2,BN4*管理者用人口入力シート!AP$8))</f>
        <v>8.8528111811446859</v>
      </c>
      <c r="BP7" s="11">
        <f>IF(管理者入力シート!$B$14=1,BO4*管理者用人口入力シート!AQ$4,IF(管理者入力シート!$B$14=2,BO4*管理者用人口入力シート!AQ$8))</f>
        <v>8.2855264614675708</v>
      </c>
      <c r="BQ7" s="11">
        <f>IF(管理者入力シート!$B$14=1,BP4*管理者用人口入力シート!AR$4,IF(管理者入力シート!$B$14=2,BP4*管理者用人口入力シート!AR$8))</f>
        <v>13.976169277857844</v>
      </c>
      <c r="BR7" s="11">
        <f>IF(管理者入力シート!$B$14=1,BQ4*管理者用人口入力シート!AS$4,IF(管理者入力シート!$B$14=2,BQ4*管理者用人口入力シート!AS$8))</f>
        <v>10.98605206265233</v>
      </c>
      <c r="BS7" s="11">
        <f>IF(管理者入力シート!$B$14=1,BR4*管理者用人口入力シート!AT$4,IF(管理者入力シート!$B$14=2,BR4*管理者用人口入力シート!AT$8))</f>
        <v>12.90603414199555</v>
      </c>
      <c r="BT7" s="11">
        <f>IF(管理者入力シート!$B$14=1,BS4*管理者用人口入力シート!AU$4,IF(管理者入力シート!$B$14=2,BS4*管理者用人口入力シート!AU$8))</f>
        <v>19.605756968539083</v>
      </c>
      <c r="BU7" s="11">
        <f>IF(管理者入力シート!$B$14=1,BT4*管理者用人口入力シート!AV$4,IF(管理者入力シート!$B$14=2,BT4*管理者用人口入力シート!AV$8))</f>
        <v>25.999673074295682</v>
      </c>
      <c r="BV7" s="11">
        <f>IF(管理者入力シート!$B$14=1,BU4*管理者用人口入力シート!AW$4,IF(管理者入力シート!$B$14=2,BU4*管理者用人口入力シート!AW$8))</f>
        <v>30.675208475972937</v>
      </c>
      <c r="BW7" s="11">
        <f>IF(管理者入力シート!$B$14=1,BV4*管理者用人口入力シート!AX$4,IF(管理者入力シート!$B$14=2,BV4*管理者用人口入力シート!AX$8))</f>
        <v>26.928576103865872</v>
      </c>
      <c r="BX7" s="11">
        <f>IF(管理者入力シート!$B$14=1,BW4*管理者用人口入力シート!AY$4,IF(管理者入力シート!$B$14=2,BW4*管理者用人口入力シート!AY$8))</f>
        <v>32.586540505594222</v>
      </c>
      <c r="BY7" s="11">
        <f>IF(管理者入力シート!$B$14=1,BX4*管理者用人口入力シート!AZ$4,IF(管理者入力シート!$B$14=2,BX4*管理者用人口入力シート!AZ$8))</f>
        <v>39.540108305323756</v>
      </c>
      <c r="BZ7" s="11">
        <f>IF(管理者入力シート!$B$14=1,BY4*管理者用人口入力シート!BA$4,IF(管理者入力シート!$B$14=2,BY4*管理者用人口入力シート!BA$8))</f>
        <v>43.831974795449952</v>
      </c>
      <c r="CA7" s="11">
        <f>IF(管理者入力シート!$B$14=1,BZ4*管理者用人口入力シート!BB$4,IF(管理者入力シート!$B$14=2,BZ4*管理者用人口入力シート!BB$8))</f>
        <v>39.557873398604222</v>
      </c>
      <c r="CB7" s="11">
        <f>IF(管理者入力シート!$B$14=1,CA4*管理者用人口入力シート!BC$4,IF(管理者入力シート!$B$14=2,CA4*管理者用人口入力シート!BC$8))</f>
        <v>32.676146893114826</v>
      </c>
      <c r="CC7" s="11">
        <f>IF(管理者入力シート!$B$14=1,CB4*管理者用人口入力シート!BD$4,IF(管理者入力シート!$B$14=2,CB4*管理者用人口入力シート!BD$8))</f>
        <v>20.282511524205919</v>
      </c>
      <c r="CD7" s="11">
        <f>IF(管理者入力シート!$B$14=1,CC4*管理者用人口入力シート!BE$4,IF(管理者入力シート!$B$14=2,CC4*管理者用人口入力シート!BE$8))</f>
        <v>6.8918436983790388</v>
      </c>
      <c r="CE7" s="11">
        <f>IF(管理者入力シート!$B$14=1,CD4*管理者用人口入力シート!BF$4,IF(管理者入力シート!$B$14=2,CD4*管理者用人口入力シート!BF$8))</f>
        <v>0.11365747635811066</v>
      </c>
      <c r="CF7" s="11">
        <f t="shared" si="2"/>
        <v>426.36539759723991</v>
      </c>
      <c r="CG7" s="11">
        <f t="shared" si="20"/>
        <v>17.410420615919204</v>
      </c>
      <c r="CH7" s="11">
        <f t="shared" si="21"/>
        <v>9.5886453325024625</v>
      </c>
      <c r="CI7" s="11">
        <f t="shared" si="3"/>
        <v>215.48065659703002</v>
      </c>
      <c r="CJ7" s="11">
        <f t="shared" si="22"/>
        <v>143.35400778611205</v>
      </c>
      <c r="CK7" s="15">
        <f t="shared" si="23"/>
        <v>0.50538964421446975</v>
      </c>
      <c r="CL7" s="15">
        <f t="shared" si="24"/>
        <v>0.33622336285724902</v>
      </c>
      <c r="CM7" s="11">
        <f t="shared" si="25"/>
        <v>42.100558983122426</v>
      </c>
      <c r="CO7" s="60" t="str">
        <f t="shared" si="26"/>
        <v>2030_2</v>
      </c>
      <c r="CP7" s="30">
        <f>CP6</f>
        <v>2030</v>
      </c>
      <c r="CQ7" s="5" t="s">
        <v>22</v>
      </c>
      <c r="CR7" s="11">
        <f>DT7*$AK$14+将来予測シート②!$H17</f>
        <v>11.378792286247553</v>
      </c>
      <c r="CS7" s="11">
        <f>IF(管理者入力シート!$B$14=1,CR4*管理者用人口入力シート!AM$4,IF(管理者入力シート!$B$14=2,CR4*管理者用人口入力シート!AM$8))+将来予測シート②!$H18</f>
        <v>13.279490412338005</v>
      </c>
      <c r="CT7" s="11">
        <f>IF(管理者入力シート!$B$14=1,CS4*管理者用人口入力シート!AN$4,IF(管理者入力シート!$B$14=2,CS4*管理者用人口入力シート!AN$8))+将来予測シート②!$H19</f>
        <v>17.884898709432367</v>
      </c>
      <c r="CU7" s="11">
        <f>IF(管理者入力シート!$B$14=1,CT4*管理者用人口入力シート!AO$4,IF(管理者入力シート!$B$14=2,CT4*管理者用人口入力シート!AO$8))+将来予測シート②!$H20</f>
        <v>14.912742409511173</v>
      </c>
      <c r="CV7" s="11">
        <f>IF(管理者入力シート!$B$14=1,CU4*管理者用人口入力シート!AP$4,IF(管理者入力シート!$B$14=2,CU4*管理者用人口入力シート!AP$8))+将来予測シート②!$H21</f>
        <v>8.8528111811446859</v>
      </c>
      <c r="CW7" s="11">
        <f>IF(管理者入力シート!$B$14=1,CV4*管理者用人口入力シート!AQ$4,IF(管理者入力シート!$B$14=2,CV4*管理者用人口入力シート!AQ$8))+将来予測シート②!$H22</f>
        <v>10.285526461467571</v>
      </c>
      <c r="CX7" s="11">
        <f>IF(管理者入力シート!$B$14=1,CW4*管理者用人口入力シート!AR$4,IF(管理者入力シート!$B$14=2,CW4*管理者用人口入力シート!AR$8))+将来予測シート②!$H23</f>
        <v>15.976757426672204</v>
      </c>
      <c r="CY7" s="11">
        <f>IF(管理者入力シート!$B$14=1,CX4*管理者用人口入力シート!AS$4,IF(管理者入力シート!$B$14=2,CX4*管理者用人口入力シート!AS$8))+将来予測シート②!$H24</f>
        <v>10.98605206265233</v>
      </c>
      <c r="CZ7" s="11">
        <f>IF(管理者入力シート!$B$14=1,CY4*管理者用人口入力シート!AT$4,IF(管理者入力シート!$B$14=2,CY4*管理者用人口入力シート!AT$8))+将来予測シート②!$H25</f>
        <v>13.90603414199555</v>
      </c>
      <c r="DA7" s="11">
        <f>IF(管理者入力シート!$B$14=1,CZ4*管理者用人口入力シート!AU$4,IF(管理者入力シート!$B$14=2,CZ4*管理者用人口入力シート!AU$8))+将来予測シート②!$H26</f>
        <v>20.675116314953893</v>
      </c>
      <c r="DB7" s="11">
        <f>IF(管理者入力シート!$B$14=1,DA4*管理者用人口入力シート!AV$4,IF(管理者入力シート!$B$14=2,DA4*管理者用人口入力シート!AV$8))+将来予測シート②!$H27</f>
        <v>25.999673074295682</v>
      </c>
      <c r="DC7" s="11">
        <f>IF(管理者入力シート!$B$14=1,DB4*管理者用人口入力シート!AW$4,IF(管理者入力シート!$B$14=2,DB4*管理者用人口入力シート!AW$8))+将来予測シート②!$H28</f>
        <v>30.675208475972937</v>
      </c>
      <c r="DD7" s="11">
        <f>IF(管理者入力シート!$B$14=1,DC4*管理者用人口入力シート!AX$4,IF(管理者入力シート!$B$14=2,DC4*管理者用人口入力シート!AX$8))+将来予測シート②!$H29</f>
        <v>26.928576103865872</v>
      </c>
      <c r="DE7" s="11">
        <f>IF(管理者入力シート!$B$14=1,DD4*管理者用人口入力シート!AY$4,IF(管理者入力シート!$B$14=2,DD4*管理者用人口入力シート!AY$8))</f>
        <v>32.586540505594222</v>
      </c>
      <c r="DF7" s="11">
        <f>IF(管理者入力シート!$B$14=1,DE4*管理者用人口入力シート!AZ$4,IF(管理者入力シート!$B$14=2,DE4*管理者用人口入力シート!AZ$8))</f>
        <v>39.540108305323756</v>
      </c>
      <c r="DG7" s="11">
        <f>IF(管理者入力シート!$B$14=1,DF4*管理者用人口入力シート!BA$4,IF(管理者入力シート!$B$14=2,DF4*管理者用人口入力シート!BA$8))</f>
        <v>43.831974795449952</v>
      </c>
      <c r="DH7" s="11">
        <f>IF(管理者入力シート!$B$14=1,DG4*管理者用人口入力シート!BB$4,IF(管理者入力シート!$B$14=2,DG4*管理者用人口入力シート!BB$8))</f>
        <v>39.557873398604222</v>
      </c>
      <c r="DI7" s="11">
        <f>IF(管理者入力シート!$B$14=1,DH4*管理者用人口入力シート!BC$4,IF(管理者入力シート!$B$14=2,DH4*管理者用人口入力シート!BC$8))</f>
        <v>32.676146893114826</v>
      </c>
      <c r="DJ7" s="11">
        <f>IF(管理者入力シート!$B$14=1,DI4*管理者用人口入力シート!BD$4,IF(管理者入力シート!$B$14=2,DI4*管理者用人口入力シート!BD$8))</f>
        <v>20.282511524205919</v>
      </c>
      <c r="DK7" s="11">
        <f>IF(管理者入力シート!$B$14=1,DJ4*管理者用人口入力シート!BE$4,IF(管理者入力シート!$B$14=2,DJ4*管理者用人口入力シート!BE$8))</f>
        <v>6.8918436983790388</v>
      </c>
      <c r="DL7" s="11">
        <f>IF(管理者入力シート!$B$14=1,DK4*管理者用人口入力シート!BF$4,IF(管理者入力シート!$B$14=2,DK4*管理者用人口入力シート!BF$8))</f>
        <v>0.11365747635811066</v>
      </c>
      <c r="DM7" s="11">
        <f t="shared" si="68"/>
        <v>437.22233565757989</v>
      </c>
      <c r="DN7" s="11">
        <f t="shared" si="34"/>
        <v>18.698633473062223</v>
      </c>
      <c r="DO7" s="11">
        <f t="shared" si="35"/>
        <v>10.136507965675181</v>
      </c>
      <c r="DP7" s="11">
        <f t="shared" si="6"/>
        <v>215.48065659703002</v>
      </c>
      <c r="DQ7" s="11">
        <f t="shared" si="36"/>
        <v>143.35400778611205</v>
      </c>
      <c r="DR7" s="15">
        <f t="shared" si="37"/>
        <v>0.49284000158168578</v>
      </c>
      <c r="DS7" s="15">
        <f t="shared" si="38"/>
        <v>0.32787439271717089</v>
      </c>
      <c r="DT7" s="11">
        <f t="shared" si="69"/>
        <v>46.101147131936798</v>
      </c>
      <c r="DV7" s="60" t="s">
        <v>401</v>
      </c>
      <c r="DW7" s="231">
        <f>(SUM(BK12:BW12)-SUM(D12:P12))/4</f>
        <v>-33.990235346650302</v>
      </c>
      <c r="DX7" s="30">
        <f>DX6</f>
        <v>2030</v>
      </c>
      <c r="DY7" s="5" t="s">
        <v>22</v>
      </c>
      <c r="DZ7" s="11">
        <f>FB7*$AK$14</f>
        <v>21.833480361801321</v>
      </c>
      <c r="EA7" s="11">
        <f>IF(管理者入力シート!$B$14=1,DZ4*管理者用人口入力シート!AM$4,IF(管理者入力シート!$B$14=2,DZ4*管理者用人口入力シート!AM$8))</f>
        <v>12.132468983766303</v>
      </c>
      <c r="EB7" s="11">
        <f>IF(管理者入力シート!$B$14=1,EA4*管理者用人口入力シート!AN$4,IF(管理者入力シート!$B$14=2,EA4*管理者用人口入力シート!AN$8))</f>
        <v>16.884898709432367</v>
      </c>
      <c r="EC7" s="11">
        <f>IF(管理者入力シート!$B$14=1,EB4*管理者用人口入力シート!AO$4,IF(管理者入力シート!$B$14=2,EB4*管理者用人口入力シート!AO$8))</f>
        <v>14.173429243647577</v>
      </c>
      <c r="ED7" s="11">
        <f>IF(管理者入力シート!$B$14=1,EC4*管理者用人口入力シート!AP$4,IF(管理者入力シート!$B$14=2,EC4*管理者用人口入力シート!AP$8))</f>
        <v>8.8528111811446859</v>
      </c>
      <c r="EE7" s="11">
        <f>IF(管理者入力シート!$B$14=1,ED4*管理者用人口入力シート!AQ$4,IF(管理者入力シート!$B$14=2,ED4*管理者用人口入力シート!AQ$8))+DX1</f>
        <v>19.285526461467569</v>
      </c>
      <c r="EF7" s="11">
        <f>IF(管理者入力シート!$B$14=1,EE4*管理者用人口入力シート!AR$4,IF(管理者入力シート!$B$14=2,EE4*管理者用人口入力シート!AR$8))+DX1</f>
        <v>35.979404096336822</v>
      </c>
      <c r="EG7" s="11">
        <f>IF(管理者入力シート!$B$14=1,EF4*管理者用人口入力シート!AS$4,IF(管理者入力シート!$B$14=2,EF4*管理者用人口入力シート!AS$8))+DX1</f>
        <v>32.863531496028862</v>
      </c>
      <c r="EH7" s="11">
        <f>IF(管理者入力シート!$B$14=1,EG4*管理者用人口入力シート!AT$4,IF(管理者入力シート!$B$14=2,EG4*管理者用人口入力シート!AT$8))</f>
        <v>24.293418295109422</v>
      </c>
      <c r="EI7" s="11">
        <f>IF(管理者入力シート!$B$14=1,EH4*管理者用人口入力シート!AU$4,IF(管理者入力シート!$B$14=2,EH4*管理者用人口入力シート!AU$8))</f>
        <v>19.605756968539083</v>
      </c>
      <c r="EJ7" s="11">
        <f>IF(管理者入力シート!$B$14=1,EI4*管理者用人口入力シート!AV$4,IF(管理者入力シート!$B$14=2,EI4*管理者用人口入力シート!AV$8))</f>
        <v>25.999673074295682</v>
      </c>
      <c r="EK7" s="11">
        <f>IF(管理者入力シート!$B$14=1,EJ4*管理者用人口入力シート!AW$4,IF(管理者入力シート!$B$14=2,EJ4*管理者用人口入力シート!AW$8))</f>
        <v>30.675208475972937</v>
      </c>
      <c r="EL7" s="11">
        <f>IF(管理者入力シート!$B$14=1,EK4*管理者用人口入力シート!AX$4,IF(管理者入力シート!$B$14=2,EK4*管理者用人口入力シート!AX$8))</f>
        <v>26.928576103865872</v>
      </c>
      <c r="EM7" s="11">
        <f>IF(管理者入力シート!$B$14=1,EL4*管理者用人口入力シート!AY$4,IF(管理者入力シート!$B$14=2,EL4*管理者用人口入力シート!AY$8))</f>
        <v>32.586540505594222</v>
      </c>
      <c r="EN7" s="11">
        <f>IF(管理者入力シート!$B$14=1,EM4*管理者用人口入力シート!AZ$4,IF(管理者入力シート!$B$14=2,EM4*管理者用人口入力シート!AZ$8))</f>
        <v>39.540108305323756</v>
      </c>
      <c r="EO7" s="11">
        <f>IF(管理者入力シート!$B$14=1,EN4*管理者用人口入力シート!BA$4,IF(管理者入力シート!$B$14=2,EN4*管理者用人口入力シート!BA$8))</f>
        <v>43.831974795449952</v>
      </c>
      <c r="EP7" s="11">
        <f>IF(管理者入力シート!$B$14=1,EO4*管理者用人口入力シート!BB$4,IF(管理者入力シート!$B$14=2,EO4*管理者用人口入力シート!BB$8))</f>
        <v>39.557873398604222</v>
      </c>
      <c r="EQ7" s="11">
        <f>IF(管理者入力シート!$B$14=1,EP4*管理者用人口入力シート!BC$4,IF(管理者入力シート!$B$14=2,EP4*管理者用人口入力シート!BC$8))</f>
        <v>32.676146893114826</v>
      </c>
      <c r="ER7" s="11">
        <f>IF(管理者入力シート!$B$14=1,EQ4*管理者用人口入力シート!BD$4,IF(管理者入力シート!$B$14=2,EQ4*管理者用人口入力シート!BD$8))</f>
        <v>20.282511524205919</v>
      </c>
      <c r="ES7" s="11">
        <f>IF(管理者入力シート!$B$14=1,ER4*管理者用人口入力シート!BE$4,IF(管理者入力シート!$B$14=2,ER4*管理者用人口入力シート!BE$8))</f>
        <v>6.8918436983790388</v>
      </c>
      <c r="ET7" s="11">
        <f>IF(管理者入力シート!$B$14=1,ES4*管理者用人口入力シート!BF$4,IF(管理者入力シート!$B$14=2,ES4*管理者用人口入力シート!BF$8))</f>
        <v>0.11365747635811066</v>
      </c>
      <c r="EU7" s="11">
        <f t="shared" si="70"/>
        <v>504.98884004843848</v>
      </c>
      <c r="EV7" s="11">
        <f t="shared" si="41"/>
        <v>17.410420615919204</v>
      </c>
      <c r="EW7" s="11">
        <f t="shared" si="42"/>
        <v>9.5886453325024625</v>
      </c>
      <c r="EX7" s="11">
        <f t="shared" si="10"/>
        <v>215.48065659703002</v>
      </c>
      <c r="EY7" s="11">
        <f t="shared" si="43"/>
        <v>143.35400778611205</v>
      </c>
      <c r="EZ7" s="15">
        <f t="shared" si="44"/>
        <v>0.42670379918962392</v>
      </c>
      <c r="FA7" s="15">
        <f t="shared" si="45"/>
        <v>0.28387559569110782</v>
      </c>
      <c r="FB7" s="11">
        <f t="shared" si="71"/>
        <v>96.981273234977948</v>
      </c>
    </row>
    <row r="8" spans="1:158" x14ac:dyDescent="0.15">
      <c r="A8" s="60" t="str">
        <f t="shared" si="11"/>
        <v>2010_3</v>
      </c>
      <c r="B8" s="31">
        <v>2010</v>
      </c>
      <c r="C8" s="6" t="s">
        <v>23</v>
      </c>
      <c r="D8" s="12">
        <v>40.799999999999997</v>
      </c>
      <c r="E8" s="12">
        <v>47.7</v>
      </c>
      <c r="F8" s="12">
        <v>54.3</v>
      </c>
      <c r="G8" s="12">
        <v>42.9</v>
      </c>
      <c r="H8" s="12">
        <v>31.8</v>
      </c>
      <c r="I8" s="12">
        <v>36.299999999999997</v>
      </c>
      <c r="J8" s="12">
        <v>49.8</v>
      </c>
      <c r="K8" s="12">
        <v>45</v>
      </c>
      <c r="L8" s="12">
        <v>58.2</v>
      </c>
      <c r="M8" s="12">
        <v>65.699999999999989</v>
      </c>
      <c r="N8" s="12">
        <v>82.8</v>
      </c>
      <c r="O8" s="12">
        <v>95.399999999999991</v>
      </c>
      <c r="P8" s="12">
        <v>90</v>
      </c>
      <c r="Q8" s="12">
        <v>83.699999999999989</v>
      </c>
      <c r="R8" s="12">
        <v>82.8</v>
      </c>
      <c r="S8" s="12">
        <v>83.4</v>
      </c>
      <c r="T8" s="12">
        <v>63.599999999999994</v>
      </c>
      <c r="U8" s="12">
        <v>36</v>
      </c>
      <c r="V8" s="12">
        <v>17.099999999999998</v>
      </c>
      <c r="W8" s="12">
        <v>4.8</v>
      </c>
      <c r="X8" s="12">
        <v>0.3</v>
      </c>
      <c r="Y8" s="12">
        <v>1112.3999999999996</v>
      </c>
      <c r="Z8" s="12">
        <f t="shared" si="12"/>
        <v>61.2</v>
      </c>
      <c r="AA8" s="12">
        <f t="shared" si="13"/>
        <v>30.299999999999997</v>
      </c>
      <c r="AB8" s="12">
        <f t="shared" si="0"/>
        <v>371.70000000000005</v>
      </c>
      <c r="AC8" s="12">
        <f t="shared" si="14"/>
        <v>205.20000000000002</v>
      </c>
      <c r="AD8" s="16">
        <f t="shared" si="15"/>
        <v>0.33414239482200664</v>
      </c>
      <c r="AE8" s="16">
        <f t="shared" si="16"/>
        <v>0.18446601941747581</v>
      </c>
      <c r="AF8" s="12">
        <f t="shared" si="17"/>
        <v>162.89999999999998</v>
      </c>
      <c r="AH8" s="60"/>
      <c r="AI8" s="31" t="s">
        <v>88</v>
      </c>
      <c r="AJ8" s="6">
        <f>AJ7</f>
        <v>2010</v>
      </c>
      <c r="AK8" s="6">
        <f>AK7</f>
        <v>2020</v>
      </c>
      <c r="AL8" s="34" t="s">
        <v>22</v>
      </c>
      <c r="AM8" s="52">
        <f t="shared" si="72"/>
        <v>1.1470214285717002</v>
      </c>
      <c r="AN8" s="52">
        <f t="shared" si="72"/>
        <v>1.1404646430626968</v>
      </c>
      <c r="AO8" s="52">
        <f t="shared" si="72"/>
        <v>0.73931316586359486</v>
      </c>
      <c r="AP8" s="52">
        <f t="shared" si="72"/>
        <v>0.60441074797344585</v>
      </c>
      <c r="AQ8" s="52">
        <f t="shared" si="72"/>
        <v>0.87822933491536392</v>
      </c>
      <c r="AR8" s="52">
        <f t="shared" si="72"/>
        <v>1.0002940744071802</v>
      </c>
      <c r="AS8" s="52">
        <f t="shared" si="72"/>
        <v>0.98886176667059378</v>
      </c>
      <c r="AT8" s="52">
        <f t="shared" si="72"/>
        <v>1.0352167411921702</v>
      </c>
      <c r="AU8" s="52">
        <f t="shared" si="72"/>
        <v>1.0693593464148083</v>
      </c>
      <c r="AV8" s="52">
        <f t="shared" si="72"/>
        <v>0.97586440704005928</v>
      </c>
      <c r="AW8" s="52">
        <f t="shared" si="72"/>
        <v>1.0069039824822139</v>
      </c>
      <c r="AX8" s="52">
        <f t="shared" si="72"/>
        <v>0.98993385023754965</v>
      </c>
      <c r="AY8" s="52">
        <f t="shared" si="72"/>
        <v>0.98794429133001349</v>
      </c>
      <c r="AZ8" s="52">
        <f t="shared" si="72"/>
        <v>0.98763161361791996</v>
      </c>
      <c r="BA8" s="52">
        <f t="shared" si="72"/>
        <v>0.92987010041710849</v>
      </c>
      <c r="BB8" s="52">
        <f t="shared" si="72"/>
        <v>0.95757387843102371</v>
      </c>
      <c r="BC8" s="52">
        <f t="shared" si="72"/>
        <v>0.80055939378392615</v>
      </c>
      <c r="BD8" s="52">
        <f t="shared" si="72"/>
        <v>0.66985527454955174</v>
      </c>
      <c r="BE8" s="52">
        <f t="shared" si="72"/>
        <v>0.31159114412301647</v>
      </c>
      <c r="BF8" s="52">
        <f t="shared" si="72"/>
        <v>2.1699425151443855E-2</v>
      </c>
      <c r="BH8" s="60" t="str">
        <f t="shared" si="19"/>
        <v>2030_3</v>
      </c>
      <c r="BI8" s="31">
        <f>BI7</f>
        <v>2030</v>
      </c>
      <c r="BJ8" s="6" t="s">
        <v>23</v>
      </c>
      <c r="BK8" s="17">
        <f>BK6+BK7</f>
        <v>17.188363005433541</v>
      </c>
      <c r="BL8" s="17">
        <f t="shared" ref="BL8" si="73">BL6+BL7</f>
        <v>20.174765217602705</v>
      </c>
      <c r="BM8" s="17">
        <f t="shared" ref="BM8" si="74">BM6+BM7</f>
        <v>26.560046799567097</v>
      </c>
      <c r="BN8" s="17">
        <f t="shared" ref="BN8" si="75">BN6+BN7</f>
        <v>29.072884350966163</v>
      </c>
      <c r="BO8" s="17">
        <f t="shared" ref="BO8" si="76">BO6+BO7</f>
        <v>16.733402309667085</v>
      </c>
      <c r="BP8" s="17">
        <f t="shared" ref="BP8" si="77">BP6+BP7</f>
        <v>17.149979423483302</v>
      </c>
      <c r="BQ8" s="17">
        <f t="shared" ref="BQ8" si="78">BQ6+BQ7</f>
        <v>21.984595924878082</v>
      </c>
      <c r="BR8" s="17">
        <f t="shared" ref="BR8" si="79">BR6+BR7</f>
        <v>21.813691487163343</v>
      </c>
      <c r="BS8" s="17">
        <f t="shared" ref="BS8" si="80">BS6+BS7</f>
        <v>28.780791417369436</v>
      </c>
      <c r="BT8" s="17">
        <f t="shared" ref="BT8" si="81">BT6+BT7</f>
        <v>40.653272937362331</v>
      </c>
      <c r="BU8" s="17">
        <f t="shared" ref="BU8" si="82">BU6+BU7</f>
        <v>49.20516444410481</v>
      </c>
      <c r="BV8" s="17">
        <f t="shared" ref="BV8" si="83">BV6+BV7</f>
        <v>53.374407444280536</v>
      </c>
      <c r="BW8" s="17">
        <f t="shared" ref="BW8" si="84">BW6+BW7</f>
        <v>54.215970392263181</v>
      </c>
      <c r="BX8" s="17">
        <f t="shared" ref="BX8" si="85">BX6+BX7</f>
        <v>60.154749116033038</v>
      </c>
      <c r="BY8" s="17">
        <f t="shared" ref="BY8" si="86">BY6+BY7</f>
        <v>73.63763044245276</v>
      </c>
      <c r="BZ8" s="17">
        <f t="shared" ref="BZ8" si="87">BZ6+BZ7</f>
        <v>80.606486698066348</v>
      </c>
      <c r="CA8" s="17">
        <f t="shared" ref="CA8" si="88">CA6+CA7</f>
        <v>70.570086562668038</v>
      </c>
      <c r="CB8" s="17">
        <f t="shared" ref="CB8" si="89">CB6+CB7</f>
        <v>50.044371113923049</v>
      </c>
      <c r="CC8" s="17">
        <f t="shared" ref="CC8" si="90">CC6+CC7</f>
        <v>29.770949543584429</v>
      </c>
      <c r="CD8" s="17">
        <f t="shared" ref="CD8" si="91">CD6+CD7</f>
        <v>6.9014344567984143</v>
      </c>
      <c r="CE8" s="17">
        <f t="shared" ref="CE8" si="92">CE6+CE7</f>
        <v>0.11366737635811065</v>
      </c>
      <c r="CF8" s="12">
        <f t="shared" si="2"/>
        <v>768.7067104640256</v>
      </c>
      <c r="CG8" s="12">
        <f t="shared" si="20"/>
        <v>28.040887210301882</v>
      </c>
      <c r="CH8" s="12">
        <f t="shared" si="21"/>
        <v>16.438595590020071</v>
      </c>
      <c r="CI8" s="12">
        <f t="shared" si="3"/>
        <v>371.79937530988423</v>
      </c>
      <c r="CJ8" s="12">
        <f t="shared" si="22"/>
        <v>238.00699575139842</v>
      </c>
      <c r="CK8" s="16">
        <f t="shared" si="23"/>
        <v>0.48366869997199524</v>
      </c>
      <c r="CL8" s="16">
        <f t="shared" si="24"/>
        <v>0.30962003129610616</v>
      </c>
      <c r="CM8" s="12">
        <f t="shared" si="25"/>
        <v>77.681669145191805</v>
      </c>
      <c r="CO8" s="60" t="str">
        <f t="shared" si="26"/>
        <v>2030_3</v>
      </c>
      <c r="CP8" s="31">
        <f>CP7</f>
        <v>2030</v>
      </c>
      <c r="CQ8" s="6" t="s">
        <v>23</v>
      </c>
      <c r="CR8" s="17">
        <f>CR6+CR7</f>
        <v>20.821680068150528</v>
      </c>
      <c r="CS8" s="17">
        <f t="shared" ref="CS8" si="93">CS6+CS7</f>
        <v>22.256456447815374</v>
      </c>
      <c r="CT8" s="17">
        <f t="shared" ref="CT8" si="94">CT6+CT7</f>
        <v>28.560046799567097</v>
      </c>
      <c r="CU8" s="17">
        <f t="shared" ref="CU8" si="95">CU6+CU7</f>
        <v>30.611844809045699</v>
      </c>
      <c r="CV8" s="17">
        <f t="shared" ref="CV8" si="96">CV6+CV7</f>
        <v>16.733402309667085</v>
      </c>
      <c r="CW8" s="17">
        <f t="shared" ref="CW8" si="97">CW6+CW7</f>
        <v>21.149979423483302</v>
      </c>
      <c r="CX8" s="17">
        <f t="shared" ref="CX8" si="98">CX6+CX7</f>
        <v>25.933277093458756</v>
      </c>
      <c r="CY8" s="17">
        <f t="shared" ref="CY8" si="99">CY6+CY7</f>
        <v>21.813691487163343</v>
      </c>
      <c r="CZ8" s="17">
        <f t="shared" ref="CZ8" si="100">CZ6+CZ7</f>
        <v>29.780791417369436</v>
      </c>
      <c r="DA8" s="17">
        <f t="shared" ref="DA8" si="101">DA6+DA7</f>
        <v>41.722632283777145</v>
      </c>
      <c r="DB8" s="17">
        <f t="shared" ref="DB8" si="102">DB6+DB7</f>
        <v>49.20516444410481</v>
      </c>
      <c r="DC8" s="17">
        <f t="shared" ref="DC8" si="103">DC6+DC7</f>
        <v>53.374407444280536</v>
      </c>
      <c r="DD8" s="17">
        <f t="shared" ref="DD8" si="104">DD6+DD7</f>
        <v>54.215970392263181</v>
      </c>
      <c r="DE8" s="17">
        <f t="shared" ref="DE8" si="105">DE6+DE7</f>
        <v>60.154749116033038</v>
      </c>
      <c r="DF8" s="17">
        <f t="shared" ref="DF8" si="106">DF6+DF7</f>
        <v>73.63763044245276</v>
      </c>
      <c r="DG8" s="17">
        <f t="shared" ref="DG8" si="107">DG6+DG7</f>
        <v>80.606486698066348</v>
      </c>
      <c r="DH8" s="17">
        <f t="shared" ref="DH8" si="108">DH6+DH7</f>
        <v>70.570086562668038</v>
      </c>
      <c r="DI8" s="17">
        <f t="shared" ref="DI8" si="109">DI6+DI7</f>
        <v>50.044371113923049</v>
      </c>
      <c r="DJ8" s="17">
        <f t="shared" ref="DJ8" si="110">DJ6+DJ7</f>
        <v>29.770949543584429</v>
      </c>
      <c r="DK8" s="17">
        <f t="shared" ref="DK8" si="111">DK6+DK7</f>
        <v>6.9014344567984143</v>
      </c>
      <c r="DL8" s="17">
        <f t="shared" ref="DL8" si="112">DL6+DL7</f>
        <v>0.11366737635811065</v>
      </c>
      <c r="DM8" s="12">
        <f t="shared" si="68"/>
        <v>787.97871973003032</v>
      </c>
      <c r="DN8" s="12">
        <f t="shared" si="34"/>
        <v>30.489901948429484</v>
      </c>
      <c r="DO8" s="12">
        <f t="shared" si="35"/>
        <v>17.546387681635977</v>
      </c>
      <c r="DP8" s="12">
        <f t="shared" si="6"/>
        <v>371.79937530988423</v>
      </c>
      <c r="DQ8" s="12">
        <f t="shared" si="36"/>
        <v>238.00699575139842</v>
      </c>
      <c r="DR8" s="16">
        <f t="shared" si="37"/>
        <v>0.47183936063307208</v>
      </c>
      <c r="DS8" s="16">
        <f t="shared" si="38"/>
        <v>0.30204749162888828</v>
      </c>
      <c r="DT8" s="12">
        <f t="shared" si="69"/>
        <v>85.630350313772482</v>
      </c>
      <c r="DV8" s="60" t="s">
        <v>402</v>
      </c>
      <c r="DW8" s="231">
        <f>(SUM(BK13:BW13)-SUM(D13:P13))/4</f>
        <v>-30.940058838996528</v>
      </c>
      <c r="DX8" s="31">
        <f>DX7</f>
        <v>2030</v>
      </c>
      <c r="DY8" s="6" t="s">
        <v>23</v>
      </c>
      <c r="DZ8" s="17">
        <f>DZ6+DZ7</f>
        <v>39.594470224497385</v>
      </c>
      <c r="EA8" s="17">
        <f t="shared" ref="EA8:ET8" si="113">EA6+EA7</f>
        <v>20.174765217602705</v>
      </c>
      <c r="EB8" s="17">
        <f t="shared" si="113"/>
        <v>26.560046799567097</v>
      </c>
      <c r="EC8" s="17">
        <f t="shared" si="113"/>
        <v>29.072884350966163</v>
      </c>
      <c r="ED8" s="17">
        <f t="shared" si="113"/>
        <v>16.733402309667085</v>
      </c>
      <c r="EE8" s="17">
        <f t="shared" si="113"/>
        <v>39.149979423483302</v>
      </c>
      <c r="EF8" s="17">
        <f t="shared" si="113"/>
        <v>65.702342352071796</v>
      </c>
      <c r="EG8" s="17">
        <f t="shared" si="113"/>
        <v>66.013167512908495</v>
      </c>
      <c r="EH8" s="17">
        <f t="shared" si="113"/>
        <v>51.478581320030756</v>
      </c>
      <c r="EI8" s="17">
        <f t="shared" si="113"/>
        <v>40.653272937362331</v>
      </c>
      <c r="EJ8" s="17">
        <f t="shared" si="113"/>
        <v>49.20516444410481</v>
      </c>
      <c r="EK8" s="17">
        <f t="shared" si="113"/>
        <v>53.374407444280536</v>
      </c>
      <c r="EL8" s="17">
        <f t="shared" si="113"/>
        <v>54.215970392263181</v>
      </c>
      <c r="EM8" s="17">
        <f t="shared" si="113"/>
        <v>60.154749116033038</v>
      </c>
      <c r="EN8" s="17">
        <f t="shared" si="113"/>
        <v>73.63763044245276</v>
      </c>
      <c r="EO8" s="17">
        <f t="shared" si="113"/>
        <v>80.606486698066348</v>
      </c>
      <c r="EP8" s="17">
        <f t="shared" si="113"/>
        <v>70.570086562668038</v>
      </c>
      <c r="EQ8" s="17">
        <f t="shared" si="113"/>
        <v>50.044371113923049</v>
      </c>
      <c r="ER8" s="17">
        <f t="shared" si="113"/>
        <v>29.770949543584429</v>
      </c>
      <c r="ES8" s="17">
        <f t="shared" si="113"/>
        <v>6.9014344567984143</v>
      </c>
      <c r="ET8" s="17">
        <f t="shared" si="113"/>
        <v>0.11366737635811065</v>
      </c>
      <c r="EU8" s="12">
        <f t="shared" si="70"/>
        <v>923.72783003868972</v>
      </c>
      <c r="EV8" s="12">
        <f t="shared" si="41"/>
        <v>28.040887210301882</v>
      </c>
      <c r="EW8" s="12">
        <f t="shared" si="42"/>
        <v>16.438595590020071</v>
      </c>
      <c r="EX8" s="12">
        <f t="shared" si="10"/>
        <v>371.79937530988423</v>
      </c>
      <c r="EY8" s="12">
        <f t="shared" si="43"/>
        <v>238.00699575139842</v>
      </c>
      <c r="EZ8" s="16">
        <f t="shared" si="44"/>
        <v>0.40249883485085824</v>
      </c>
      <c r="FA8" s="16">
        <f t="shared" si="45"/>
        <v>0.2576592238662222</v>
      </c>
      <c r="FB8" s="12">
        <f t="shared" si="71"/>
        <v>187.59889159813068</v>
      </c>
    </row>
    <row r="9" spans="1:158" x14ac:dyDescent="0.15">
      <c r="A9" s="60" t="str">
        <f t="shared" si="11"/>
        <v>2015_1</v>
      </c>
      <c r="B9" s="29">
        <v>2015</v>
      </c>
      <c r="C9" s="4" t="s">
        <v>21</v>
      </c>
      <c r="D9" s="10">
        <v>15.899999999999999</v>
      </c>
      <c r="E9" s="10">
        <v>18.3</v>
      </c>
      <c r="F9" s="10">
        <v>24.9</v>
      </c>
      <c r="G9" s="10">
        <v>20.399999999999999</v>
      </c>
      <c r="H9" s="10">
        <v>13.2</v>
      </c>
      <c r="I9" s="10">
        <v>15.299999999999999</v>
      </c>
      <c r="J9" s="10">
        <v>18</v>
      </c>
      <c r="K9" s="10">
        <v>22.2</v>
      </c>
      <c r="L9" s="10">
        <v>21</v>
      </c>
      <c r="M9" s="10">
        <v>29.7</v>
      </c>
      <c r="N9" s="10">
        <v>30.9</v>
      </c>
      <c r="O9" s="10">
        <v>42</v>
      </c>
      <c r="P9" s="10">
        <v>46.199999999999996</v>
      </c>
      <c r="Q9" s="10">
        <v>44.4</v>
      </c>
      <c r="R9" s="10">
        <v>32.4</v>
      </c>
      <c r="S9" s="10">
        <v>37.799999999999997</v>
      </c>
      <c r="T9" s="10">
        <v>29.4</v>
      </c>
      <c r="U9" s="10">
        <v>19.2</v>
      </c>
      <c r="V9" s="10">
        <v>3.9</v>
      </c>
      <c r="W9" s="10">
        <v>0.3</v>
      </c>
      <c r="X9" s="10">
        <v>0</v>
      </c>
      <c r="Y9" s="10">
        <v>485.39999999999986</v>
      </c>
      <c r="Z9" s="10">
        <f t="shared" si="12"/>
        <v>25.919999999999998</v>
      </c>
      <c r="AA9" s="10">
        <f t="shared" si="13"/>
        <v>14.04</v>
      </c>
      <c r="AB9" s="10">
        <f t="shared" si="0"/>
        <v>167.4</v>
      </c>
      <c r="AC9" s="10">
        <f t="shared" si="14"/>
        <v>90.6</v>
      </c>
      <c r="AD9" s="14">
        <f t="shared" si="15"/>
        <v>0.34487021013597047</v>
      </c>
      <c r="AE9" s="14">
        <f t="shared" si="16"/>
        <v>0.18665018541409151</v>
      </c>
      <c r="AF9" s="10">
        <f t="shared" si="17"/>
        <v>68.7</v>
      </c>
      <c r="AL9" s="51" t="s">
        <v>92</v>
      </c>
      <c r="AM9" s="2">
        <v>4</v>
      </c>
      <c r="AN9" s="2">
        <f>AM9+1</f>
        <v>5</v>
      </c>
      <c r="AO9" s="2">
        <f t="shared" ref="AO9:BF9" si="114">AN9+1</f>
        <v>6</v>
      </c>
      <c r="AP9" s="2">
        <f t="shared" si="114"/>
        <v>7</v>
      </c>
      <c r="AQ9" s="2">
        <f t="shared" si="114"/>
        <v>8</v>
      </c>
      <c r="AR9" s="2">
        <f t="shared" si="114"/>
        <v>9</v>
      </c>
      <c r="AS9" s="2">
        <f t="shared" si="114"/>
        <v>10</v>
      </c>
      <c r="AT9" s="2">
        <f t="shared" si="114"/>
        <v>11</v>
      </c>
      <c r="AU9" s="2">
        <f t="shared" si="114"/>
        <v>12</v>
      </c>
      <c r="AV9" s="2">
        <f t="shared" si="114"/>
        <v>13</v>
      </c>
      <c r="AW9" s="2">
        <f t="shared" si="114"/>
        <v>14</v>
      </c>
      <c r="AX9" s="2">
        <f t="shared" si="114"/>
        <v>15</v>
      </c>
      <c r="AY9" s="2">
        <f t="shared" si="114"/>
        <v>16</v>
      </c>
      <c r="AZ9" s="2">
        <f t="shared" si="114"/>
        <v>17</v>
      </c>
      <c r="BA9" s="2">
        <f t="shared" si="114"/>
        <v>18</v>
      </c>
      <c r="BB9" s="2">
        <f t="shared" si="114"/>
        <v>19</v>
      </c>
      <c r="BC9" s="2">
        <f t="shared" si="114"/>
        <v>20</v>
      </c>
      <c r="BD9" s="2">
        <f t="shared" si="114"/>
        <v>21</v>
      </c>
      <c r="BE9" s="2">
        <f t="shared" si="114"/>
        <v>22</v>
      </c>
      <c r="BF9" s="2">
        <f t="shared" si="114"/>
        <v>23</v>
      </c>
      <c r="BH9" s="60" t="str">
        <f t="shared" si="19"/>
        <v>2035_1</v>
      </c>
      <c r="BI9" s="29">
        <f>管理者入力シート!B10</f>
        <v>2035</v>
      </c>
      <c r="BJ9" s="4" t="s">
        <v>21</v>
      </c>
      <c r="BK9" s="10">
        <f>CM10*$AK$13</f>
        <v>7.0416389428675181</v>
      </c>
      <c r="BL9" s="10">
        <f>IF(管理者入力シート!$B$14=1,BK6*管理者用人口入力シート!AM$3,IF(管理者入力シート!$B$14=2,BK6*管理者用人口入力シート!AM$7))</f>
        <v>7.2065160508197295</v>
      </c>
      <c r="BM9" s="10">
        <f>IF(管理者入力シート!$B$14=1,BL6*管理者用人口入力シート!AN$3,IF(管理者入力シート!$B$14=2,BL6*管理者用人口入力シート!AN$7))</f>
        <v>7.9284844164819157</v>
      </c>
      <c r="BN9" s="10">
        <f>IF(管理者入力シート!$B$14=1,BM6*管理者用人口入力シート!AO$3,IF(管理者入力シート!$B$14=2,BM6*管理者用人口入力シート!AO$7))</f>
        <v>7.7367059720644367</v>
      </c>
      <c r="BO9" s="10">
        <f>IF(管理者入力シート!$B$14=1,BN6*管理者用人口入力シート!AP$3,IF(管理者入力シート!$B$14=2,BN6*管理者用人口入力シート!AP$7))</f>
        <v>7.5300194692263407</v>
      </c>
      <c r="BP9" s="10">
        <f>IF(管理者入力シート!$B$14=1,BO6*管理者用人口入力シート!AQ$3,IF(管理者入力シート!$B$14=2,BO6*管理者用人口入力シート!AQ$7))</f>
        <v>7.1991926175522289</v>
      </c>
      <c r="BQ9" s="10">
        <f>IF(管理者入力シート!$B$14=1,BP6*管理者用人口入力シート!AR$3,IF(管理者入力シート!$B$14=2,BP6*管理者用人口入力シート!AR$7))</f>
        <v>8.63438946967484</v>
      </c>
      <c r="BR9" s="10">
        <f>IF(管理者入力シート!$B$14=1,BQ6*管理者用人口入力シート!AS$3,IF(管理者入力シート!$B$14=2,BQ6*管理者用人口入力シート!AS$7))</f>
        <v>8.2428526552542944</v>
      </c>
      <c r="BS9" s="10">
        <f>IF(管理者入力シート!$B$14=1,BR6*管理者用人口入力シート!AT$3,IF(管理者入力シート!$B$14=2,BR6*管理者用人口入力シート!AT$7))</f>
        <v>11.133181381910541</v>
      </c>
      <c r="BT9" s="10">
        <f>IF(管理者入力シート!$B$14=1,BS6*管理者用人口入力シート!AU$3,IF(管理者入力シート!$B$14=2,BS6*管理者用人口入力シート!AU$7))</f>
        <v>16.166886301006858</v>
      </c>
      <c r="BU9" s="10">
        <f>IF(管理者入力シート!$B$14=1,BT6*管理者用人口入力シート!AV$3,IF(管理者入力シート!$B$14=2,BT6*管理者用人口入力シート!AV$7))</f>
        <v>21.034756030718778</v>
      </c>
      <c r="BV9" s="10">
        <f>IF(管理者入力シート!$B$14=1,BU6*管理者用人口入力シート!AW$3,IF(管理者入力シート!$B$14=2,BU6*管理者用人口入力シート!AW$7))</f>
        <v>22.816692481046591</v>
      </c>
      <c r="BW9" s="10">
        <f>IF(管理者入力シート!$B$14=1,BV6*管理者用人口入力シート!AX$3,IF(管理者入力シート!$B$14=2,BV6*管理者用人口入力シート!AX$7))</f>
        <v>21.873495441216097</v>
      </c>
      <c r="BX9" s="10">
        <f>IF(管理者入力シート!$B$14=1,BW6*管理者用人口入力シート!AY$3,IF(管理者入力シート!$B$14=2,BW6*管理者用人口入力シート!AY$7))</f>
        <v>25.764417370684455</v>
      </c>
      <c r="BY9" s="10">
        <f>IF(管理者入力シート!$B$14=1,BX6*管理者用人口入力シート!AZ$3,IF(管理者入力シート!$B$14=2,BX6*管理者用人口入力シート!AZ$7))</f>
        <v>25.527512633823481</v>
      </c>
      <c r="BZ9" s="10">
        <f>IF(管理者入力シート!$B$14=1,BY6*管理者用人口入力シート!BA$3,IF(管理者入力シート!$B$14=2,BY6*管理者用人口入力シート!BA$7))</f>
        <v>32.013224222493065</v>
      </c>
      <c r="CA9" s="10">
        <f>IF(管理者入力シート!$B$14=1,BZ6*管理者用人口入力シート!BB$3,IF(管理者入力シート!$B$14=2,BZ6*管理者用人口入力シート!BB$7))</f>
        <v>28.716579830605994</v>
      </c>
      <c r="CB9" s="10">
        <f>IF(管理者入力シート!$B$14=1,CA6*管理者用人口入力シート!BC$3,IF(管理者入力シート!$B$14=2,CA6*管理者用人口入力シート!BC$7))</f>
        <v>22.541403571346034</v>
      </c>
      <c r="CC9" s="10">
        <f>IF(管理者入力シート!$B$14=1,CB6*管理者用人口入力シート!BD$3,IF(管理者入力シート!$B$14=2,CB6*管理者用人口入力シート!BD$7))</f>
        <v>7.7117797534870061</v>
      </c>
      <c r="CD9" s="10">
        <f>IF(管理者入力シート!$B$14=1,CC6*管理者用人口入力シート!BE$3,IF(管理者入力シート!$B$14=2,CC6*管理者用人口入力シート!BE$7))</f>
        <v>9.4884380193785076E-3</v>
      </c>
      <c r="CE9" s="10">
        <f>IF(管理者入力シート!$B$14=1,CD6*管理者用人口入力シート!BF$3,IF(管理者入力シート!$B$14=2,CD6*管理者用人口入力シート!BF$7))</f>
        <v>9.5907584193755767E-6</v>
      </c>
      <c r="CF9" s="10">
        <f t="shared" si="2"/>
        <v>296.82922664105803</v>
      </c>
      <c r="CG9" s="10">
        <f t="shared" si="20"/>
        <v>9.0810002803809873</v>
      </c>
      <c r="CH9" s="10">
        <f t="shared" si="21"/>
        <v>4.7187349610056533</v>
      </c>
      <c r="CI9" s="10">
        <f t="shared" si="3"/>
        <v>142.28441541121785</v>
      </c>
      <c r="CJ9" s="10">
        <f t="shared" si="22"/>
        <v>90.992485406709903</v>
      </c>
      <c r="CK9" s="14">
        <f t="shared" si="23"/>
        <v>0.47934772805669795</v>
      </c>
      <c r="CL9" s="14">
        <f t="shared" si="24"/>
        <v>0.30654826829685117</v>
      </c>
      <c r="CM9" s="10">
        <f t="shared" si="25"/>
        <v>31.606454211707707</v>
      </c>
      <c r="CO9" s="60" t="str">
        <f t="shared" si="26"/>
        <v>2035_1</v>
      </c>
      <c r="CP9" s="29">
        <f>管理者入力シート!B10</f>
        <v>2035</v>
      </c>
      <c r="CQ9" s="4" t="s">
        <v>21</v>
      </c>
      <c r="CR9" s="10">
        <f>DT10*$AK$13+将来予測シート②!$G17</f>
        <v>9.2184387162193371</v>
      </c>
      <c r="CS9" s="10">
        <f>IF(管理者入力シート!$B$14=1,CR6*管理者用人口入力シート!AM$3,IF(管理者入力シート!$B$14=2,CR6*管理者用人口入力シート!AM$7))+将来予測シート②!$G18</f>
        <v>8.8259820500291823</v>
      </c>
      <c r="CT9" s="10">
        <f>IF(管理者入力シート!$B$14=1,CS6*管理者用人口入力シート!AN$3,IF(管理者入力シート!$B$14=2,CS6*管理者用人口入力シート!AN$7))+将来予測シート②!$G19</f>
        <v>9.8499270917328428</v>
      </c>
      <c r="CU9" s="10">
        <f>IF(管理者入力シート!$B$14=1,CT6*管理者用人口入力シート!AO$3,IF(管理者入力シート!$B$14=2,CT6*管理者用人口入力シート!AO$7))+将来予測シート②!$G20</f>
        <v>8.5363532642803737</v>
      </c>
      <c r="CV9" s="10">
        <f>IF(管理者入力シート!$B$14=1,CU6*管理者用人口入力シート!AP$3,IF(管理者入力シート!$B$14=2,CU6*管理者用人口入力シート!AP$7))+将来予測シート②!$G21</f>
        <v>7.9341523476121045</v>
      </c>
      <c r="CW9" s="10">
        <f>IF(管理者入力シート!$B$14=1,CV6*管理者用人口入力シート!AQ$3,IF(管理者入力シート!$B$14=2,CV6*管理者用人口入力シート!AQ$7))+将来予測シート②!$G22</f>
        <v>9.1991926175522281</v>
      </c>
      <c r="CX9" s="10">
        <f>IF(管理者入力シート!$B$14=1,CW6*管理者用人口入力シート!AR$3,IF(管理者入力シート!$B$14=2,CW6*管理者用人口入力シート!AR$7))+将来予測シート②!$G23</f>
        <v>10.582482489441155</v>
      </c>
      <c r="CY9" s="10">
        <f>IF(管理者入力シート!$B$14=1,CX6*管理者用人口入力シート!AS$3,IF(管理者入力シート!$B$14=2,CX6*管理者用人口入力シート!AS$7))+将来予測シート②!$G24</f>
        <v>10.24797106720078</v>
      </c>
      <c r="CZ9" s="10">
        <f>IF(管理者入力シート!$B$14=1,CY6*管理者用人口入力シート!AT$3,IF(管理者入力シート!$B$14=2,CY6*管理者用人口入力シート!AT$7))+将来予測シート②!$G25</f>
        <v>11.133181381910541</v>
      </c>
      <c r="DA9" s="10">
        <f>IF(管理者入力シート!$B$14=1,CZ6*管理者用人口入力シート!AU$3,IF(管理者入力シート!$B$14=2,CZ6*管理者用人口入力シート!AU$7))+将来予測シート②!$G26</f>
        <v>16.166886301006858</v>
      </c>
      <c r="DB9" s="10">
        <f>IF(管理者入力シート!$B$14=1,DA6*管理者用人口入力シート!AV$3,IF(管理者入力シート!$B$14=2,DA6*管理者用人口入力シート!AV$7))+将来予測シート②!$G27</f>
        <v>21.034756030718778</v>
      </c>
      <c r="DC9" s="10">
        <f>IF(管理者入力シート!$B$14=1,DB6*管理者用人口入力シート!AW$3,IF(管理者入力シート!$B$14=2,DB6*管理者用人口入力シート!AW$7))+将来予測シート②!$G28</f>
        <v>22.816692481046591</v>
      </c>
      <c r="DD9" s="10">
        <f>IF(管理者入力シート!$B$14=1,DC6*管理者用人口入力シート!AX$3,IF(管理者入力シート!$B$14=2,DC6*管理者用人口入力シート!AX$7))+将来予測シート②!$G29</f>
        <v>21.873495441216097</v>
      </c>
      <c r="DE9" s="10">
        <f>IF(管理者入力シート!$B$14=1,DD6*管理者用人口入力シート!AY$3,IF(管理者入力シート!$B$14=2,DD6*管理者用人口入力シート!AY$7))</f>
        <v>25.764417370684455</v>
      </c>
      <c r="DF9" s="10">
        <f>IF(管理者入力シート!$B$14=1,DE6*管理者用人口入力シート!AZ$3,IF(管理者入力シート!$B$14=2,DE6*管理者用人口入力シート!AZ$7))</f>
        <v>25.527512633823481</v>
      </c>
      <c r="DG9" s="10">
        <f>IF(管理者入力シート!$B$14=1,DF6*管理者用人口入力シート!BA$3,IF(管理者入力シート!$B$14=2,DF6*管理者用人口入力シート!BA$7))</f>
        <v>32.013224222493065</v>
      </c>
      <c r="DH9" s="10">
        <f>IF(管理者入力シート!$B$14=1,DG6*管理者用人口入力シート!BB$3,IF(管理者入力シート!$B$14=2,DG6*管理者用人口入力シート!BB$7))</f>
        <v>28.716579830605994</v>
      </c>
      <c r="DI9" s="10">
        <f>IF(管理者入力シート!$B$14=1,DH6*管理者用人口入力シート!BC$3,IF(管理者入力シート!$B$14=2,DH6*管理者用人口入力シート!BC$7))</f>
        <v>22.541403571346034</v>
      </c>
      <c r="DJ9" s="10">
        <f>IF(管理者入力シート!$B$14=1,DI6*管理者用人口入力シート!BD$3,IF(管理者入力シート!$B$14=2,DI6*管理者用人口入力シート!BD$7))</f>
        <v>7.7117797534870061</v>
      </c>
      <c r="DK9" s="10">
        <f>IF(管理者入力シート!$B$14=1,DJ6*管理者用人口入力シート!BE$3,IF(管理者入力シート!$B$14=2,DJ6*管理者用人口入力シート!BE$7))</f>
        <v>9.4884380193785076E-3</v>
      </c>
      <c r="DL9" s="10">
        <f>IF(管理者入力シート!$B$14=1,DK6*管理者用人口入力シート!BF$3,IF(管理者入力シート!$B$14=2,DK6*管理者用人口入力シート!BF$7))</f>
        <v>9.5907584193755767E-6</v>
      </c>
      <c r="DM9" s="10">
        <f t="shared" si="68"/>
        <v>309.70392669118473</v>
      </c>
      <c r="DN9" s="10">
        <f t="shared" si="34"/>
        <v>11.205545485057215</v>
      </c>
      <c r="DO9" s="10">
        <f t="shared" si="35"/>
        <v>5.647241489549212</v>
      </c>
      <c r="DP9" s="10">
        <f t="shared" si="6"/>
        <v>142.28441541121785</v>
      </c>
      <c r="DQ9" s="10">
        <f t="shared" si="36"/>
        <v>90.992485406709903</v>
      </c>
      <c r="DR9" s="14">
        <f t="shared" si="37"/>
        <v>0.4594207665732763</v>
      </c>
      <c r="DS9" s="14">
        <f t="shared" si="38"/>
        <v>0.29380475210261475</v>
      </c>
      <c r="DT9" s="10">
        <f t="shared" si="69"/>
        <v>37.963798521806268</v>
      </c>
      <c r="DV9" s="60" t="s">
        <v>403</v>
      </c>
      <c r="DW9" s="231">
        <f>DW7+DW8</f>
        <v>-64.930294185646829</v>
      </c>
      <c r="DX9" s="29">
        <f>管理者入力シート!B10</f>
        <v>2035</v>
      </c>
      <c r="DY9" s="4" t="s">
        <v>21</v>
      </c>
      <c r="DZ9" s="10">
        <f>FB10*$AK$13</f>
        <v>19.085071516180125</v>
      </c>
      <c r="EA9" s="140">
        <f>IF(管理者入力シート!$B$14=1,DZ6*管理者用人口入力シート!AM$3,IF(管理者入力シート!$B$14=2,DZ6*管理者用人口入力シート!AM$7))</f>
        <v>16.600660871913394</v>
      </c>
      <c r="EB9" s="10">
        <f>IF(管理者入力シート!$B$14=1,EA6*管理者用人口入力シート!AN$3,IF(管理者入力シート!$B$14=2,EA6*管理者用人口入力シート!AN$7))</f>
        <v>7.9284844164819157</v>
      </c>
      <c r="EC9" s="10">
        <f>IF(管理者入力シート!$B$14=1,EB6*管理者用人口入力シート!AO$3,IF(管理者入力シート!$B$14=2,EB6*管理者用人口入力シート!AO$7))</f>
        <v>7.7367059720644367</v>
      </c>
      <c r="ED9" s="10">
        <f>IF(管理者入力シート!$B$14=1,EC6*管理者用人口入力シート!AP$3,IF(管理者入力シート!$B$14=2,EC6*管理者用人口入力シート!AP$7))</f>
        <v>7.5300194692263407</v>
      </c>
      <c r="EE9" s="10">
        <f>IF(管理者入力シート!$B$14=1,ED6*管理者用人口入力シート!AQ$3,IF(管理者入力シート!$B$14=2,ED6*管理者用人口入力シート!AQ$7))+DX1</f>
        <v>18.199192617552228</v>
      </c>
      <c r="EF9" s="10">
        <f>IF(管理者入力シート!$B$14=1,EE6*管理者用人口入力シート!AR$3,IF(管理者入力シート!$B$14=2,EE6*管理者用人口入力シート!AR$7))+DX1</f>
        <v>30.348901078389574</v>
      </c>
      <c r="EG9" s="10">
        <f>IF(管理者入力シート!$B$14=1,EF6*管理者用人口入力シート!AS$3,IF(管理者入力シート!$B$14=2,EF6*管理者用人口入力シート!AS$7))+DX1</f>
        <v>41.593000513328583</v>
      </c>
      <c r="EH9" s="10">
        <f>IF(管理者入力シート!$B$14=1,EG6*管理者用人口入力シート!AT$3,IF(管理者入力シート!$B$14=2,EG6*管理者用人口入力シート!AT$7))</f>
        <v>34.085075800065503</v>
      </c>
      <c r="EI9" s="10">
        <f>IF(管理者入力シート!$B$14=1,EH6*管理者用人口入力シート!AU$3,IF(管理者入力シート!$B$14=2,EH6*管理者用人口入力シート!AU$7))</f>
        <v>27.685427378472319</v>
      </c>
      <c r="EJ9" s="10">
        <f>IF(管理者入力シート!$B$14=1,EI6*管理者用人口入力シート!AV$3,IF(管理者入力シート!$B$14=2,EI6*管理者用人口入力シート!AV$7))</f>
        <v>21.034756030718778</v>
      </c>
      <c r="EK9" s="10">
        <f>IF(管理者入力シート!$B$14=1,EJ6*管理者用人口入力シート!AW$3,IF(管理者入力シート!$B$14=2,EJ6*管理者用人口入力シート!AW$7))</f>
        <v>22.816692481046591</v>
      </c>
      <c r="EL9" s="10">
        <f>IF(管理者入力シート!$B$14=1,EK6*管理者用人口入力シート!AX$3,IF(管理者入力シート!$B$14=2,EK6*管理者用人口入力シート!AX$7))</f>
        <v>21.873495441216097</v>
      </c>
      <c r="EM9" s="10">
        <f>IF(管理者入力シート!$B$14=1,EL6*管理者用人口入力シート!AY$3,IF(管理者入力シート!$B$14=2,EL6*管理者用人口入力シート!AY$7))</f>
        <v>25.764417370684455</v>
      </c>
      <c r="EN9" s="10">
        <f>IF(管理者入力シート!$B$14=1,EM6*管理者用人口入力シート!AZ$3,IF(管理者入力シート!$B$14=2,EM6*管理者用人口入力シート!AZ$7))</f>
        <v>25.527512633823481</v>
      </c>
      <c r="EO9" s="10">
        <f>IF(管理者入力シート!$B$14=1,EN6*管理者用人口入力シート!BA$3,IF(管理者入力シート!$B$14=2,EN6*管理者用人口入力シート!BA$7))</f>
        <v>32.013224222493065</v>
      </c>
      <c r="EP9" s="10">
        <f>IF(管理者入力シート!$B$14=1,EO6*管理者用人口入力シート!BB$3,IF(管理者入力シート!$B$14=2,EO6*管理者用人口入力シート!BB$7))</f>
        <v>28.716579830605994</v>
      </c>
      <c r="EQ9" s="10">
        <f>IF(管理者入力シート!$B$14=1,EP6*管理者用人口入力シート!BC$3,IF(管理者入力シート!$B$14=2,EP6*管理者用人口入力シート!BC$7))</f>
        <v>22.541403571346034</v>
      </c>
      <c r="ER9" s="10">
        <f>IF(管理者入力シート!$B$14=1,EQ6*管理者用人口入力シート!BD$3,IF(管理者入力シート!$B$14=2,EQ6*管理者用人口入力シート!BD$7))</f>
        <v>7.7117797534870061</v>
      </c>
      <c r="ES9" s="10">
        <f>IF(管理者入力シート!$B$14=1,ER6*管理者用人口入力シート!BE$3,IF(管理者入力シート!$B$14=2,ER6*管理者用人口入力シート!BE$7))</f>
        <v>9.4884380193785076E-3</v>
      </c>
      <c r="ET9" s="10">
        <f>IF(管理者入力シート!$B$14=1,ES6*管理者用人口入力シート!BF$3,IF(管理者入力シート!$B$14=2,ES6*管理者用人口入力シート!BF$7))</f>
        <v>9.5907584193755767E-6</v>
      </c>
      <c r="EU9" s="10">
        <f t="shared" si="70"/>
        <v>418.80189899787376</v>
      </c>
      <c r="EV9" s="10">
        <f t="shared" si="41"/>
        <v>14.717487173037188</v>
      </c>
      <c r="EW9" s="10">
        <f t="shared" si="42"/>
        <v>4.7187349610056533</v>
      </c>
      <c r="EX9" s="10">
        <f t="shared" si="10"/>
        <v>142.28441541121785</v>
      </c>
      <c r="EY9" s="10">
        <f t="shared" si="43"/>
        <v>90.992485406709903</v>
      </c>
      <c r="EZ9" s="14">
        <f t="shared" si="44"/>
        <v>0.33974157173518504</v>
      </c>
      <c r="FA9" s="14">
        <f t="shared" si="45"/>
        <v>0.21726855972821621</v>
      </c>
      <c r="FB9" s="10">
        <f t="shared" si="71"/>
        <v>97.671113678496724</v>
      </c>
    </row>
    <row r="10" spans="1:158" x14ac:dyDescent="0.15">
      <c r="A10" s="60" t="str">
        <f t="shared" si="11"/>
        <v>2015_2</v>
      </c>
      <c r="B10" s="30">
        <v>2015</v>
      </c>
      <c r="C10" s="5" t="s">
        <v>22</v>
      </c>
      <c r="D10" s="11">
        <v>13.5</v>
      </c>
      <c r="E10" s="11">
        <v>16.8</v>
      </c>
      <c r="F10" s="11">
        <v>22.5</v>
      </c>
      <c r="G10" s="11">
        <v>23.4</v>
      </c>
      <c r="H10" s="11">
        <v>10.799999999999999</v>
      </c>
      <c r="I10" s="11">
        <v>12.6</v>
      </c>
      <c r="J10" s="11">
        <v>17.7</v>
      </c>
      <c r="K10" s="11">
        <v>25.8</v>
      </c>
      <c r="L10" s="11">
        <v>27.3</v>
      </c>
      <c r="M10" s="11">
        <v>26.7</v>
      </c>
      <c r="N10" s="11">
        <v>33.6</v>
      </c>
      <c r="O10" s="11">
        <v>41.1</v>
      </c>
      <c r="P10" s="11">
        <v>48.9</v>
      </c>
      <c r="Q10" s="11">
        <v>44.4</v>
      </c>
      <c r="R10" s="11">
        <v>46.5</v>
      </c>
      <c r="S10" s="11">
        <v>39.9</v>
      </c>
      <c r="T10" s="11">
        <v>44.4</v>
      </c>
      <c r="U10" s="11">
        <v>31.799999999999997</v>
      </c>
      <c r="V10" s="11">
        <v>21.9</v>
      </c>
      <c r="W10" s="11">
        <v>5.0999999999999996</v>
      </c>
      <c r="X10" s="11">
        <v>0.3</v>
      </c>
      <c r="Y10" s="11">
        <v>554.99999999999989</v>
      </c>
      <c r="Z10" s="11">
        <f t="shared" si="12"/>
        <v>23.580000000000002</v>
      </c>
      <c r="AA10" s="11">
        <f t="shared" si="13"/>
        <v>13.68</v>
      </c>
      <c r="AB10" s="11">
        <f t="shared" si="0"/>
        <v>234.3</v>
      </c>
      <c r="AC10" s="11">
        <f t="shared" si="14"/>
        <v>143.4</v>
      </c>
      <c r="AD10" s="15">
        <f t="shared" si="15"/>
        <v>0.42216216216216229</v>
      </c>
      <c r="AE10" s="15">
        <f t="shared" si="16"/>
        <v>0.25837837837837846</v>
      </c>
      <c r="AF10" s="11">
        <f t="shared" si="17"/>
        <v>66.899999999999991</v>
      </c>
      <c r="AL10" s="61"/>
      <c r="AM10" s="2">
        <v>5</v>
      </c>
      <c r="AN10" s="2">
        <f>AM10+1</f>
        <v>6</v>
      </c>
      <c r="AO10" s="2">
        <f t="shared" ref="AO10:BF10" si="115">AN10+1</f>
        <v>7</v>
      </c>
      <c r="AP10" s="2">
        <f t="shared" si="115"/>
        <v>8</v>
      </c>
      <c r="AQ10" s="2">
        <f t="shared" si="115"/>
        <v>9</v>
      </c>
      <c r="AR10" s="2">
        <f t="shared" si="115"/>
        <v>10</v>
      </c>
      <c r="AS10" s="2">
        <f t="shared" si="115"/>
        <v>11</v>
      </c>
      <c r="AT10" s="2">
        <f t="shared" si="115"/>
        <v>12</v>
      </c>
      <c r="AU10" s="2">
        <f t="shared" si="115"/>
        <v>13</v>
      </c>
      <c r="AV10" s="2">
        <f t="shared" si="115"/>
        <v>14</v>
      </c>
      <c r="AW10" s="2">
        <f t="shared" si="115"/>
        <v>15</v>
      </c>
      <c r="AX10" s="2">
        <f t="shared" si="115"/>
        <v>16</v>
      </c>
      <c r="AY10" s="2">
        <f t="shared" si="115"/>
        <v>17</v>
      </c>
      <c r="AZ10" s="2">
        <f t="shared" si="115"/>
        <v>18</v>
      </c>
      <c r="BA10" s="2">
        <f t="shared" si="115"/>
        <v>19</v>
      </c>
      <c r="BB10" s="2">
        <f t="shared" si="115"/>
        <v>20</v>
      </c>
      <c r="BC10" s="2">
        <f t="shared" si="115"/>
        <v>21</v>
      </c>
      <c r="BD10" s="2">
        <f t="shared" si="115"/>
        <v>22</v>
      </c>
      <c r="BE10" s="2">
        <f t="shared" si="115"/>
        <v>23</v>
      </c>
      <c r="BF10" s="2">
        <f t="shared" si="115"/>
        <v>24</v>
      </c>
      <c r="BH10" s="60" t="str">
        <f t="shared" si="19"/>
        <v>2035_2</v>
      </c>
      <c r="BI10" s="30">
        <f>BI9</f>
        <v>2035</v>
      </c>
      <c r="BJ10" s="5" t="s">
        <v>22</v>
      </c>
      <c r="BK10" s="11">
        <f>CM10*$AK$14</f>
        <v>8.6562453310614931</v>
      </c>
      <c r="BL10" s="11">
        <f>IF(管理者入力シート!$B$14=1,BK7*管理者用人口入力シート!AM$4,IF(管理者入力シート!$B$14=2,BK7*管理者用人口入力シート!AM$8))</f>
        <v>10.871625456884782</v>
      </c>
      <c r="BM10" s="11">
        <f>IF(管理者入力シート!$B$14=1,BL7*管理者用人口入力シート!AN$4,IF(管理者入力シート!$B$14=2,BL7*管理者用人口入力シート!AN$8))</f>
        <v>13.836651909040278</v>
      </c>
      <c r="BN10" s="11">
        <f>IF(管理者入力シート!$B$14=1,BM7*管理者用人口入力シート!AO$4,IF(管理者入力シート!$B$14=2,BM7*管理者用人口入力シート!AO$8))</f>
        <v>12.483227920156571</v>
      </c>
      <c r="BO10" s="11">
        <f>IF(管理者入力シート!$B$14=1,BN7*管理者用人口入力シート!AP$4,IF(管理者入力シート!$B$14=2,BN7*管理者用人口入力シート!AP$8))</f>
        <v>8.5665729705017437</v>
      </c>
      <c r="BP10" s="11">
        <f>IF(管理者入力シート!$B$14=1,BO7*管理者用人口入力シート!AQ$4,IF(管理者入力シート!$B$14=2,BO7*管理者用人口入力シート!AQ$8))</f>
        <v>7.7747984757479944</v>
      </c>
      <c r="BQ10" s="11">
        <f>IF(管理者入力シート!$B$14=1,BP7*管理者用人口入力シート!AR$4,IF(管理者入力シート!$B$14=2,BP7*管理者用人口入力シート!AR$8))</f>
        <v>8.2879630227499028</v>
      </c>
      <c r="BR10" s="11">
        <f>IF(管理者入力シート!$B$14=1,BQ7*管理者用人口入力シート!AS$4,IF(管理者入力シート!$B$14=2,BQ7*管理者用人口入力シート!AS$8))</f>
        <v>13.820499443389785</v>
      </c>
      <c r="BS10" s="11">
        <f>IF(管理者入力シート!$B$14=1,BR7*管理者用人口入力シート!AT$4,IF(管理者入力シート!$B$14=2,BR7*管理者用人口入力シート!AT$8))</f>
        <v>11.372945014866465</v>
      </c>
      <c r="BT10" s="11">
        <f>IF(管理者入力シート!$B$14=1,BS7*管理者用人口入力シート!AU$4,IF(管理者入力シート!$B$14=2,BS7*管理者用人口入力シート!AU$8))</f>
        <v>13.801188234891562</v>
      </c>
      <c r="BU10" s="11">
        <f>IF(管理者入力シート!$B$14=1,BT7*管理者用人口入力シート!AV$4,IF(管理者入力シート!$B$14=2,BT7*管理者用人口入力シート!AV$8))</f>
        <v>19.132560398674901</v>
      </c>
      <c r="BV10" s="11">
        <f>IF(管理者入力シート!$B$14=1,BU7*管理者用人口入力シート!AW$4,IF(管理者入力シート!$B$14=2,BU7*管理者用人口入力シート!AW$8))</f>
        <v>26.179174361743907</v>
      </c>
      <c r="BW10" s="11">
        <f>IF(管理者入力シート!$B$14=1,BV7*管理者用人口入力シート!AX$4,IF(管理者入力シート!$B$14=2,BV7*管理者用人口入力シート!AX$8))</f>
        <v>30.366427233459408</v>
      </c>
      <c r="BX10" s="11">
        <f>IF(管理者入力シート!$B$14=1,BW7*管理者用人口入力シート!AY$4,IF(管理者入力シート!$B$14=2,BW7*管理者用人口入力シート!AY$8))</f>
        <v>26.603933035460106</v>
      </c>
      <c r="BY10" s="11">
        <f>IF(管理者入力シート!$B$14=1,BX7*管理者用人口入力シート!AZ$4,IF(管理者入力シート!$B$14=2,BX7*管理者用人口入力シート!AZ$8))</f>
        <v>32.183497581765728</v>
      </c>
      <c r="BZ10" s="11">
        <f>IF(管理者入力シート!$B$14=1,BY7*管理者用人口入力シート!BA$4,IF(管理者入力シート!$B$14=2,BY7*管理者用人口入力シート!BA$8))</f>
        <v>36.767164480374745</v>
      </c>
      <c r="CA10" s="11">
        <f>IF(管理者入力シート!$B$14=1,BZ7*管理者用人口入力シート!BB$4,IF(管理者入力シート!$B$14=2,BZ7*管理者用人口入力シート!BB$8))</f>
        <v>41.972354104169888</v>
      </c>
      <c r="CB10" s="11">
        <f>IF(管理者入力シート!$B$14=1,CA7*管理者用人口入力シート!BC$4,IF(管理者入力シート!$B$14=2,CA7*管理者用人口入力シート!BC$8))</f>
        <v>31.668427147367893</v>
      </c>
      <c r="CC10" s="11">
        <f>IF(管理者入力シート!$B$14=1,CB7*管理者用人口入力シート!BD$4,IF(管理者入力シート!$B$14=2,CB7*管理者用人口入力シート!BD$8))</f>
        <v>21.888289348308913</v>
      </c>
      <c r="CD10" s="11">
        <f>IF(管理者入力シート!$B$14=1,CC7*管理者用人口入力シート!BE$4,IF(管理者入力シート!$B$14=2,CC7*管理者用人口入力シート!BE$8))</f>
        <v>6.3198509715155886</v>
      </c>
      <c r="CE10" s="11">
        <f>IF(管理者入力シート!$B$14=1,CD7*管理者用人口入力シート!BF$4,IF(管理者入力シート!$B$14=2,CD7*管理者用人口入力シート!BF$8))</f>
        <v>0.14954904648842596</v>
      </c>
      <c r="CF10" s="11">
        <f t="shared" si="2"/>
        <v>382.70294548862</v>
      </c>
      <c r="CG10" s="11">
        <f t="shared" si="20"/>
        <v>14.824966419555036</v>
      </c>
      <c r="CH10" s="11">
        <f t="shared" si="21"/>
        <v>8.0313063476474262</v>
      </c>
      <c r="CI10" s="11">
        <f t="shared" si="3"/>
        <v>197.55306571545131</v>
      </c>
      <c r="CJ10" s="11">
        <f t="shared" si="22"/>
        <v>138.76563509822546</v>
      </c>
      <c r="CK10" s="15">
        <f t="shared" si="23"/>
        <v>0.51620471711609994</v>
      </c>
      <c r="CL10" s="15">
        <f t="shared" si="24"/>
        <v>0.36259359049629203</v>
      </c>
      <c r="CM10" s="11">
        <f t="shared" si="25"/>
        <v>38.449833912389423</v>
      </c>
      <c r="CO10" s="60" t="str">
        <f t="shared" si="26"/>
        <v>2035_2</v>
      </c>
      <c r="CP10" s="30">
        <f>CP9</f>
        <v>2035</v>
      </c>
      <c r="CQ10" s="5" t="s">
        <v>22</v>
      </c>
      <c r="CR10" s="11">
        <f>DT10*$AK$14+将来予測シート②!$H17</f>
        <v>11.102878370091279</v>
      </c>
      <c r="CS10" s="11">
        <f>IF(管理者入力シート!$B$14=1,CR7*管理者用人口入力シート!AM$4,IF(管理者入力シート!$B$14=2,CR7*管理者用人口入力シート!AM$8))+将来予測シート②!$H18</f>
        <v>13.05171858359231</v>
      </c>
      <c r="CT10" s="11">
        <f>IF(管理者入力シート!$B$14=1,CS7*管理者用人口入力シート!AN$4,IF(管理者入力シート!$B$14=2,CS7*管理者用人口入力シート!AN$8))+将来予測シート②!$H19</f>
        <v>16.144789293161566</v>
      </c>
      <c r="CU10" s="11">
        <f>IF(管理者入力シート!$B$14=1,CT7*管理者用人口入力シート!AO$4,IF(管理者入力シート!$B$14=2,CT7*管理者用人口入力シート!AO$8))+将来予測シート②!$H20</f>
        <v>13.222541086020165</v>
      </c>
      <c r="CV10" s="11">
        <f>IF(管理者入力シート!$B$14=1,CU7*管理者用人口入力シート!AP$4,IF(管理者入力シート!$B$14=2,CU7*管理者用人口入力シート!AP$8))+将来予測シート②!$H21</f>
        <v>9.0134217940679751</v>
      </c>
      <c r="CW10" s="11">
        <f>IF(管理者入力シート!$B$14=1,CV7*管理者用人口入力シート!AQ$4,IF(管理者入力シート!$B$14=2,CV7*管理者用人口入力シート!AQ$8))+将来予測シート②!$H22</f>
        <v>9.7747984757479944</v>
      </c>
      <c r="CX10" s="11">
        <f>IF(管理者入力シート!$B$14=1,CW7*管理者用人口入力シート!AR$4,IF(管理者入力シート!$B$14=2,CW7*管理者用人口入力シート!AR$8))+将来予測シート②!$H23</f>
        <v>10.288551171564263</v>
      </c>
      <c r="CY10" s="11">
        <f>IF(管理者入力シート!$B$14=1,CX7*管理者用人口入力シート!AS$4,IF(管理者入力シート!$B$14=2,CX7*管理者用人口入力シート!AS$8))+将来予測シート②!$H24</f>
        <v>15.798804574606606</v>
      </c>
      <c r="CZ10" s="11">
        <f>IF(管理者入力シート!$B$14=1,CY7*管理者用人口入力シート!AT$4,IF(管理者入力シート!$B$14=2,CY7*管理者用人口入力シート!AT$8))+将来予測シート②!$H25</f>
        <v>12.372945014866465</v>
      </c>
      <c r="DA10" s="11">
        <f>IF(管理者入力シート!$B$14=1,CZ7*管理者用人口入力シート!AU$4,IF(管理者入力シート!$B$14=2,CZ7*管理者用人口入力シート!AU$8))+将来予測シート②!$H26</f>
        <v>14.87054758130637</v>
      </c>
      <c r="DB10" s="11">
        <f>IF(管理者入力シート!$B$14=1,DA7*管理者用人口入力シート!AV$4,IF(管理者入力シート!$B$14=2,DA7*管理者用人口入力シート!AV$8))+将来予測シート②!$H27</f>
        <v>20.176110123176738</v>
      </c>
      <c r="DC10" s="11">
        <f>IF(管理者入力シート!$B$14=1,DB7*管理者用人口入力シート!AW$4,IF(管理者入力シート!$B$14=2,DB7*管理者用人口入力シート!AW$8))+将来予測シート②!$H28</f>
        <v>26.179174361743907</v>
      </c>
      <c r="DD10" s="11">
        <f>IF(管理者入力シート!$B$14=1,DC7*管理者用人口入力シート!AX$4,IF(管理者入力シート!$B$14=2,DC7*管理者用人口入力シート!AX$8))+将来予測シート②!$H29</f>
        <v>30.366427233459408</v>
      </c>
      <c r="DE10" s="11">
        <f>IF(管理者入力シート!$B$14=1,DD7*管理者用人口入力シート!AY$4,IF(管理者入力シート!$B$14=2,DD7*管理者用人口入力シート!AY$8))</f>
        <v>26.603933035460106</v>
      </c>
      <c r="DF10" s="11">
        <f>IF(管理者入力シート!$B$14=1,DE7*管理者用人口入力シート!AZ$4,IF(管理者入力シート!$B$14=2,DE7*管理者用人口入力シート!AZ$8))</f>
        <v>32.183497581765728</v>
      </c>
      <c r="DG10" s="11">
        <f>IF(管理者入力シート!$B$14=1,DF7*管理者用人口入力シート!BA$4,IF(管理者入力シート!$B$14=2,DF7*管理者用人口入力シート!BA$8))</f>
        <v>36.767164480374745</v>
      </c>
      <c r="DH10" s="11">
        <f>IF(管理者入力シート!$B$14=1,DG7*管理者用人口入力シート!BB$4,IF(管理者入力シート!$B$14=2,DG7*管理者用人口入力シート!BB$8))</f>
        <v>41.972354104169888</v>
      </c>
      <c r="DI10" s="11">
        <f>IF(管理者入力シート!$B$14=1,DH7*管理者用人口入力シート!BC$4,IF(管理者入力シート!$B$14=2,DH7*管理者用人口入力シート!BC$8))</f>
        <v>31.668427147367893</v>
      </c>
      <c r="DJ10" s="11">
        <f>IF(管理者入力シート!$B$14=1,DI7*管理者用人口入力シート!BD$4,IF(管理者入力シート!$B$14=2,DI7*管理者用人口入力シート!BD$8))</f>
        <v>21.888289348308913</v>
      </c>
      <c r="DK10" s="11">
        <f>IF(管理者入力シート!$B$14=1,DJ7*管理者用人口入力シート!BE$4,IF(管理者入力シート!$B$14=2,DJ7*管理者用人口入力シート!BE$8))</f>
        <v>6.3198509715155886</v>
      </c>
      <c r="DL10" s="11">
        <f>IF(管理者入力シート!$B$14=1,DK7*管理者用人口入力シート!BF$4,IF(管理者入力シート!$B$14=2,DK7*管理者用人口入力シート!BF$8))</f>
        <v>0.14954904648842596</v>
      </c>
      <c r="DM10" s="11">
        <f t="shared" si="68"/>
        <v>399.91577337885622</v>
      </c>
      <c r="DN10" s="11">
        <f t="shared" si="34"/>
        <v>17.517904726052326</v>
      </c>
      <c r="DO10" s="11">
        <f t="shared" si="35"/>
        <v>9.1024239344686588</v>
      </c>
      <c r="DP10" s="11">
        <f t="shared" si="6"/>
        <v>197.55306571545131</v>
      </c>
      <c r="DQ10" s="11">
        <f t="shared" si="36"/>
        <v>138.76563509822546</v>
      </c>
      <c r="DR10" s="15">
        <f t="shared" si="37"/>
        <v>0.49398668136128099</v>
      </c>
      <c r="DS10" s="15">
        <f t="shared" si="38"/>
        <v>0.34698715163396976</v>
      </c>
      <c r="DT10" s="11">
        <f t="shared" si="69"/>
        <v>44.875576015986837</v>
      </c>
      <c r="DV10" s="68" t="s">
        <v>405</v>
      </c>
      <c r="DW10" s="231">
        <f>((SUM(BL12:BL13)*3/5+SUM(BM12:BM13)+SUM(BN12:BN13)*1/5)-(SUM(E12:E13)*3/5+SUM(F12:F13)+SUM(G12:G13)*1/5))/4</f>
        <v>-8.7439874275620042</v>
      </c>
      <c r="DX10" s="30">
        <f>DX9</f>
        <v>2035</v>
      </c>
      <c r="DY10" s="5" t="s">
        <v>22</v>
      </c>
      <c r="DZ10" s="11">
        <f>FB10*$AK$14</f>
        <v>23.461166149713666</v>
      </c>
      <c r="EA10" s="11">
        <f>IF(管理者入力シート!$B$14=1,DZ7*管理者用人口入力シート!AM$4,IF(管理者入力シート!$B$14=2,DZ7*管理者用人口入力シート!AM$8))</f>
        <v>25.043469835285514</v>
      </c>
      <c r="EB10" s="11">
        <f>IF(管理者入力シート!$B$14=1,EA7*管理者用人口入力シート!AN$4,IF(管理者入力シート!$B$14=2,EA7*管理者用人口入力シート!AN$8))</f>
        <v>13.836651909040278</v>
      </c>
      <c r="EC10" s="11">
        <f>IF(管理者入力シート!$B$14=1,EB7*管理者用人口入力シート!AO$4,IF(管理者入力シート!$B$14=2,EB7*管理者用人口入力シート!AO$8))</f>
        <v>12.483227920156571</v>
      </c>
      <c r="ED10" s="11">
        <f>IF(管理者入力シート!$B$14=1,EC7*管理者用人口入力シート!AP$4,IF(管理者入力シート!$B$14=2,EC7*管理者用人口入力シート!AP$8))</f>
        <v>8.5665729705017437</v>
      </c>
      <c r="EE10" s="11">
        <f>IF(管理者入力シート!$B$14=1,ED7*管理者用人口入力シート!AQ$4,IF(管理者入力シート!$B$14=2,ED7*管理者用人口入力シート!AQ$8))+DX1</f>
        <v>18.774798475747993</v>
      </c>
      <c r="EF10" s="11">
        <f>IF(管理者入力シート!$B$14=1,EE7*管理者用人口入力シート!AR$4,IF(管理者入力シート!$B$14=2,EE7*管理者用人口入力シート!AR$8))+DX1</f>
        <v>30.291197841228882</v>
      </c>
      <c r="EG10" s="11">
        <f>IF(管理者入力シート!$B$14=1,EF7*管理者用人口入力シート!AS$4,IF(管理者入力シート!$B$14=2,EF7*管理者用人口入力シート!AS$8))+DX1</f>
        <v>46.578657098458827</v>
      </c>
      <c r="EH10" s="11">
        <f>IF(管理者入力シート!$B$14=1,EG7*管理者用人口入力シート!AT$4,IF(管理者入力シート!$B$14=2,EG7*管理者用人口入力シート!AT$8))</f>
        <v>34.020877979385247</v>
      </c>
      <c r="EI10" s="11">
        <f>IF(管理者入力シート!$B$14=1,EH7*管理者用人口入力シート!AU$4,IF(管理者入力シート!$B$14=2,EH7*管理者用人口入力シート!AU$8))</f>
        <v>25.97839391023976</v>
      </c>
      <c r="EJ10" s="11">
        <f>IF(管理者入力シート!$B$14=1,EI7*管理者用人口入力シート!AV$4,IF(管理者入力シート!$B$14=2,EI7*管理者用人口入力シート!AV$8))</f>
        <v>19.132560398674901</v>
      </c>
      <c r="EK10" s="11">
        <f>IF(管理者入力シート!$B$14=1,EJ7*管理者用人口入力シート!AW$4,IF(管理者入力シート!$B$14=2,EJ7*管理者用人口入力シート!AW$8))</f>
        <v>26.179174361743907</v>
      </c>
      <c r="EL10" s="11">
        <f>IF(管理者入力シート!$B$14=1,EK7*管理者用人口入力シート!AX$4,IF(管理者入力シート!$B$14=2,EK7*管理者用人口入力シート!AX$8))</f>
        <v>30.366427233459408</v>
      </c>
      <c r="EM10" s="11">
        <f>IF(管理者入力シート!$B$14=1,EL7*管理者用人口入力シート!AY$4,IF(管理者入力シート!$B$14=2,EL7*管理者用人口入力シート!AY$8))</f>
        <v>26.603933035460106</v>
      </c>
      <c r="EN10" s="11">
        <f>IF(管理者入力シート!$B$14=1,EM7*管理者用人口入力シート!AZ$4,IF(管理者入力シート!$B$14=2,EM7*管理者用人口入力シート!AZ$8))</f>
        <v>32.183497581765728</v>
      </c>
      <c r="EO10" s="11">
        <f>IF(管理者入力シート!$B$14=1,EN7*管理者用人口入力シート!BA$4,IF(管理者入力シート!$B$14=2,EN7*管理者用人口入力シート!BA$8))</f>
        <v>36.767164480374745</v>
      </c>
      <c r="EP10" s="11">
        <f>IF(管理者入力シート!$B$14=1,EO7*管理者用人口入力シート!BB$4,IF(管理者入力シート!$B$14=2,EO7*管理者用人口入力シート!BB$8))</f>
        <v>41.972354104169888</v>
      </c>
      <c r="EQ10" s="11">
        <f>IF(管理者入力シート!$B$14=1,EP7*管理者用人口入力シート!BC$4,IF(管理者入力シート!$B$14=2,EP7*管理者用人口入力シート!BC$8))</f>
        <v>31.668427147367893</v>
      </c>
      <c r="ER10" s="11">
        <f>IF(管理者入力シート!$B$14=1,EQ7*管理者用人口入力シート!BD$4,IF(管理者入力シート!$B$14=2,EQ7*管理者用人口入力シート!BD$8))</f>
        <v>21.888289348308913</v>
      </c>
      <c r="ES10" s="11">
        <f>IF(管理者入力シート!$B$14=1,ER7*管理者用人口入力シート!BE$4,IF(管理者入力シート!$B$14=2,ER7*管理者用人口入力シート!BE$8))</f>
        <v>6.3198509715155886</v>
      </c>
      <c r="ET10" s="11">
        <f>IF(管理者入力シート!$B$14=1,ES7*管理者用人口入力シート!BF$4,IF(管理者入力シート!$B$14=2,ES7*管理者用人口入力シート!BF$8))</f>
        <v>0.14954904648842596</v>
      </c>
      <c r="EU10" s="11">
        <f t="shared" si="70"/>
        <v>512.26624179908799</v>
      </c>
      <c r="EV10" s="11">
        <f t="shared" si="41"/>
        <v>23.32807304659547</v>
      </c>
      <c r="EW10" s="11">
        <f t="shared" si="42"/>
        <v>8.0313063476474262</v>
      </c>
      <c r="EX10" s="11">
        <f t="shared" si="10"/>
        <v>197.55306571545131</v>
      </c>
      <c r="EY10" s="11">
        <f t="shared" si="43"/>
        <v>138.76563509822546</v>
      </c>
      <c r="EZ10" s="15">
        <f t="shared" si="44"/>
        <v>0.38564529456721858</v>
      </c>
      <c r="FA10" s="15">
        <f t="shared" si="45"/>
        <v>0.27088576949923171</v>
      </c>
      <c r="FB10" s="11">
        <f t="shared" si="71"/>
        <v>104.21122638593744</v>
      </c>
    </row>
    <row r="11" spans="1:158" x14ac:dyDescent="0.15">
      <c r="A11" s="60" t="str">
        <f t="shared" si="11"/>
        <v>2015_3</v>
      </c>
      <c r="B11" s="31">
        <v>2015</v>
      </c>
      <c r="C11" s="6" t="s">
        <v>23</v>
      </c>
      <c r="D11" s="12">
        <v>29.4</v>
      </c>
      <c r="E11" s="12">
        <v>35.1</v>
      </c>
      <c r="F11" s="12">
        <v>47.4</v>
      </c>
      <c r="G11" s="12">
        <v>43.8</v>
      </c>
      <c r="H11" s="12">
        <v>24</v>
      </c>
      <c r="I11" s="12">
        <v>27.9</v>
      </c>
      <c r="J11" s="12">
        <v>35.700000000000003</v>
      </c>
      <c r="K11" s="12">
        <v>48</v>
      </c>
      <c r="L11" s="12">
        <v>48.3</v>
      </c>
      <c r="M11" s="12">
        <v>56.4</v>
      </c>
      <c r="N11" s="12">
        <v>64.5</v>
      </c>
      <c r="O11" s="12">
        <v>83.1</v>
      </c>
      <c r="P11" s="12">
        <v>95.1</v>
      </c>
      <c r="Q11" s="12">
        <v>88.8</v>
      </c>
      <c r="R11" s="12">
        <v>78.900000000000006</v>
      </c>
      <c r="S11" s="12">
        <v>77.699999999999989</v>
      </c>
      <c r="T11" s="12">
        <v>73.8</v>
      </c>
      <c r="U11" s="12">
        <v>51</v>
      </c>
      <c r="V11" s="12">
        <v>25.799999999999997</v>
      </c>
      <c r="W11" s="12">
        <v>5.3999999999999995</v>
      </c>
      <c r="X11" s="12">
        <v>0.3</v>
      </c>
      <c r="Y11" s="12">
        <v>1040.3999999999999</v>
      </c>
      <c r="Z11" s="12">
        <f t="shared" si="12"/>
        <v>49.5</v>
      </c>
      <c r="AA11" s="12">
        <f t="shared" si="13"/>
        <v>27.72</v>
      </c>
      <c r="AB11" s="12">
        <f t="shared" si="0"/>
        <v>401.7</v>
      </c>
      <c r="AC11" s="12">
        <f t="shared" si="14"/>
        <v>234.00000000000003</v>
      </c>
      <c r="AD11" s="16">
        <f t="shared" si="15"/>
        <v>0.38610149942329874</v>
      </c>
      <c r="AE11" s="16">
        <f t="shared" si="16"/>
        <v>0.22491349480968864</v>
      </c>
      <c r="AF11" s="12">
        <f t="shared" si="17"/>
        <v>135.6</v>
      </c>
      <c r="BH11" s="60" t="str">
        <f t="shared" si="19"/>
        <v>2035_3</v>
      </c>
      <c r="BI11" s="31">
        <f>BI10</f>
        <v>2035</v>
      </c>
      <c r="BJ11" s="6" t="s">
        <v>23</v>
      </c>
      <c r="BK11" s="17">
        <f>BK9+BK10</f>
        <v>15.697884273929011</v>
      </c>
      <c r="BL11" s="17">
        <f t="shared" ref="BL11" si="116">BL9+BL10</f>
        <v>18.078141507704512</v>
      </c>
      <c r="BM11" s="17">
        <f t="shared" ref="BM11" si="117">BM9+BM10</f>
        <v>21.765136325522192</v>
      </c>
      <c r="BN11" s="17">
        <f t="shared" ref="BN11" si="118">BN9+BN10</f>
        <v>20.219933892221007</v>
      </c>
      <c r="BO11" s="17">
        <f t="shared" ref="BO11" si="119">BO9+BO10</f>
        <v>16.096592439728084</v>
      </c>
      <c r="BP11" s="17">
        <f t="shared" ref="BP11" si="120">BP9+BP10</f>
        <v>14.973991093300224</v>
      </c>
      <c r="BQ11" s="17">
        <f t="shared" ref="BQ11" si="121">BQ9+BQ10</f>
        <v>16.922352492424743</v>
      </c>
      <c r="BR11" s="17">
        <f t="shared" ref="BR11" si="122">BR9+BR10</f>
        <v>22.063352098644081</v>
      </c>
      <c r="BS11" s="17">
        <f t="shared" ref="BS11" si="123">BS9+BS10</f>
        <v>22.506126396777006</v>
      </c>
      <c r="BT11" s="17">
        <f t="shared" ref="BT11" si="124">BT9+BT10</f>
        <v>29.96807453589842</v>
      </c>
      <c r="BU11" s="17">
        <f t="shared" ref="BU11" si="125">BU9+BU10</f>
        <v>40.167316429393679</v>
      </c>
      <c r="BV11" s="17">
        <f t="shared" ref="BV11" si="126">BV9+BV10</f>
        <v>48.995866842790498</v>
      </c>
      <c r="BW11" s="17">
        <f t="shared" ref="BW11" si="127">BW9+BW10</f>
        <v>52.239922674675505</v>
      </c>
      <c r="BX11" s="17">
        <f t="shared" ref="BX11" si="128">BX9+BX10</f>
        <v>52.368350406144557</v>
      </c>
      <c r="BY11" s="17">
        <f t="shared" ref="BY11" si="129">BY9+BY10</f>
        <v>57.711010215589212</v>
      </c>
      <c r="BZ11" s="17">
        <f t="shared" ref="BZ11" si="130">BZ9+BZ10</f>
        <v>68.78038870286781</v>
      </c>
      <c r="CA11" s="17">
        <f t="shared" ref="CA11" si="131">CA9+CA10</f>
        <v>70.688933934775889</v>
      </c>
      <c r="CB11" s="17">
        <f t="shared" ref="CB11" si="132">CB9+CB10</f>
        <v>54.209830718713931</v>
      </c>
      <c r="CC11" s="17">
        <f t="shared" ref="CC11" si="133">CC9+CC10</f>
        <v>29.600069101795917</v>
      </c>
      <c r="CD11" s="17">
        <f t="shared" ref="CD11" si="134">CD9+CD10</f>
        <v>6.3293394095349669</v>
      </c>
      <c r="CE11" s="17">
        <f t="shared" ref="CE11" si="135">CE9+CE10</f>
        <v>0.14955863724684534</v>
      </c>
      <c r="CF11" s="12">
        <f t="shared" si="2"/>
        <v>679.53217212967809</v>
      </c>
      <c r="CG11" s="12">
        <f t="shared" si="20"/>
        <v>23.905966699936023</v>
      </c>
      <c r="CH11" s="12">
        <f t="shared" si="21"/>
        <v>12.750041308653079</v>
      </c>
      <c r="CI11" s="12">
        <f t="shared" si="3"/>
        <v>339.8374811266691</v>
      </c>
      <c r="CJ11" s="12">
        <f t="shared" si="22"/>
        <v>229.75812050493539</v>
      </c>
      <c r="CK11" s="16">
        <f t="shared" si="23"/>
        <v>0.50010506502084562</v>
      </c>
      <c r="CL11" s="16">
        <f t="shared" si="24"/>
        <v>0.33811220414313164</v>
      </c>
      <c r="CM11" s="12">
        <f t="shared" si="25"/>
        <v>70.056288124097136</v>
      </c>
      <c r="CO11" s="60" t="str">
        <f t="shared" si="26"/>
        <v>2035_3</v>
      </c>
      <c r="CP11" s="31">
        <f>CP10</f>
        <v>2035</v>
      </c>
      <c r="CQ11" s="6" t="s">
        <v>23</v>
      </c>
      <c r="CR11" s="17">
        <f>CR9+CR10</f>
        <v>20.321317086310614</v>
      </c>
      <c r="CS11" s="17">
        <f t="shared" ref="CS11" si="136">CS9+CS10</f>
        <v>21.877700633621494</v>
      </c>
      <c r="CT11" s="17">
        <f t="shared" ref="CT11" si="137">CT9+CT10</f>
        <v>25.99471638489441</v>
      </c>
      <c r="CU11" s="17">
        <f t="shared" ref="CU11" si="138">CU9+CU10</f>
        <v>21.758894350300537</v>
      </c>
      <c r="CV11" s="17">
        <f t="shared" ref="CV11" si="139">CV9+CV10</f>
        <v>16.947574141680079</v>
      </c>
      <c r="CW11" s="17">
        <f t="shared" ref="CW11" si="140">CW9+CW10</f>
        <v>18.973991093300221</v>
      </c>
      <c r="CX11" s="17">
        <f t="shared" ref="CX11" si="141">CX9+CX10</f>
        <v>20.87103366100542</v>
      </c>
      <c r="CY11" s="17">
        <f t="shared" ref="CY11" si="142">CY9+CY10</f>
        <v>26.046775641807386</v>
      </c>
      <c r="CZ11" s="17">
        <f t="shared" ref="CZ11" si="143">CZ9+CZ10</f>
        <v>23.506126396777006</v>
      </c>
      <c r="DA11" s="17">
        <f t="shared" ref="DA11" si="144">DA9+DA10</f>
        <v>31.037433882313231</v>
      </c>
      <c r="DB11" s="17">
        <f t="shared" ref="DB11" si="145">DB9+DB10</f>
        <v>41.210866153895516</v>
      </c>
      <c r="DC11" s="17">
        <f t="shared" ref="DC11" si="146">DC9+DC10</f>
        <v>48.995866842790498</v>
      </c>
      <c r="DD11" s="17">
        <f t="shared" ref="DD11" si="147">DD9+DD10</f>
        <v>52.239922674675505</v>
      </c>
      <c r="DE11" s="17">
        <f t="shared" ref="DE11" si="148">DE9+DE10</f>
        <v>52.368350406144557</v>
      </c>
      <c r="DF11" s="17">
        <f t="shared" ref="DF11" si="149">DF9+DF10</f>
        <v>57.711010215589212</v>
      </c>
      <c r="DG11" s="17">
        <f t="shared" ref="DG11" si="150">DG9+DG10</f>
        <v>68.78038870286781</v>
      </c>
      <c r="DH11" s="17">
        <f t="shared" ref="DH11" si="151">DH9+DH10</f>
        <v>70.688933934775889</v>
      </c>
      <c r="DI11" s="17">
        <f t="shared" ref="DI11" si="152">DI9+DI10</f>
        <v>54.209830718713931</v>
      </c>
      <c r="DJ11" s="17">
        <f t="shared" ref="DJ11" si="153">DJ9+DJ10</f>
        <v>29.600069101795917</v>
      </c>
      <c r="DK11" s="17">
        <f t="shared" ref="DK11" si="154">DK9+DK10</f>
        <v>6.3293394095349669</v>
      </c>
      <c r="DL11" s="17">
        <f t="shared" ref="DL11" si="155">DL9+DL10</f>
        <v>0.14955863724684534</v>
      </c>
      <c r="DM11" s="12">
        <f t="shared" si="68"/>
        <v>709.61970007004095</v>
      </c>
      <c r="DN11" s="12">
        <f t="shared" si="34"/>
        <v>28.723450211109544</v>
      </c>
      <c r="DO11" s="12">
        <f t="shared" si="35"/>
        <v>14.749665424017872</v>
      </c>
      <c r="DP11" s="12">
        <f t="shared" si="6"/>
        <v>339.8374811266691</v>
      </c>
      <c r="DQ11" s="12">
        <f t="shared" si="36"/>
        <v>229.75812050493539</v>
      </c>
      <c r="DR11" s="16">
        <f t="shared" si="37"/>
        <v>0.47890085505394853</v>
      </c>
      <c r="DS11" s="16">
        <f t="shared" si="38"/>
        <v>0.32377641218565067</v>
      </c>
      <c r="DT11" s="12">
        <f t="shared" si="69"/>
        <v>82.839374537793105</v>
      </c>
      <c r="DW11" s="232"/>
      <c r="DX11" s="31">
        <f>DX10</f>
        <v>2035</v>
      </c>
      <c r="DY11" s="6" t="s">
        <v>23</v>
      </c>
      <c r="DZ11" s="17">
        <f>DZ9+DZ10</f>
        <v>42.546237665893791</v>
      </c>
      <c r="EA11" s="17">
        <f t="shared" ref="EA11" si="156">EA9+EA10</f>
        <v>41.644130707198912</v>
      </c>
      <c r="EB11" s="17">
        <f t="shared" ref="EB11" si="157">EB9+EB10</f>
        <v>21.765136325522192</v>
      </c>
      <c r="EC11" s="17">
        <f t="shared" ref="EC11" si="158">EC9+EC10</f>
        <v>20.219933892221007</v>
      </c>
      <c r="ED11" s="17">
        <f t="shared" ref="ED11" si="159">ED9+ED10</f>
        <v>16.096592439728084</v>
      </c>
      <c r="EE11" s="17">
        <f t="shared" ref="EE11" si="160">EE9+EE10</f>
        <v>36.973991093300221</v>
      </c>
      <c r="EF11" s="17">
        <f t="shared" ref="EF11" si="161">EF9+EF10</f>
        <v>60.640098919618453</v>
      </c>
      <c r="EG11" s="17">
        <f t="shared" ref="EG11" si="162">EG9+EG10</f>
        <v>88.17165761178741</v>
      </c>
      <c r="EH11" s="17">
        <f t="shared" ref="EH11" si="163">EH9+EH10</f>
        <v>68.105953779450743</v>
      </c>
      <c r="EI11" s="17">
        <f t="shared" ref="EI11" si="164">EI9+EI10</f>
        <v>53.663821288712079</v>
      </c>
      <c r="EJ11" s="17">
        <f t="shared" ref="EJ11" si="165">EJ9+EJ10</f>
        <v>40.167316429393679</v>
      </c>
      <c r="EK11" s="17">
        <f t="shared" ref="EK11" si="166">EK9+EK10</f>
        <v>48.995866842790498</v>
      </c>
      <c r="EL11" s="17">
        <f t="shared" ref="EL11" si="167">EL9+EL10</f>
        <v>52.239922674675505</v>
      </c>
      <c r="EM11" s="17">
        <f t="shared" ref="EM11" si="168">EM9+EM10</f>
        <v>52.368350406144557</v>
      </c>
      <c r="EN11" s="17">
        <f t="shared" ref="EN11" si="169">EN9+EN10</f>
        <v>57.711010215589212</v>
      </c>
      <c r="EO11" s="17">
        <f t="shared" ref="EO11" si="170">EO9+EO10</f>
        <v>68.78038870286781</v>
      </c>
      <c r="EP11" s="17">
        <f t="shared" ref="EP11" si="171">EP9+EP10</f>
        <v>70.688933934775889</v>
      </c>
      <c r="EQ11" s="17">
        <f t="shared" ref="EQ11" si="172">EQ9+EQ10</f>
        <v>54.209830718713931</v>
      </c>
      <c r="ER11" s="17">
        <f t="shared" ref="ER11" si="173">ER9+ER10</f>
        <v>29.600069101795917</v>
      </c>
      <c r="ES11" s="17">
        <f t="shared" ref="ES11" si="174">ES9+ES10</f>
        <v>6.3293394095349669</v>
      </c>
      <c r="ET11" s="17">
        <f t="shared" ref="ET11" si="175">ET9+ET10</f>
        <v>0.14955863724684534</v>
      </c>
      <c r="EU11" s="12">
        <f t="shared" si="70"/>
        <v>931.06814079696176</v>
      </c>
      <c r="EV11" s="12">
        <f t="shared" si="41"/>
        <v>38.045560219632662</v>
      </c>
      <c r="EW11" s="12">
        <f t="shared" si="42"/>
        <v>12.750041308653079</v>
      </c>
      <c r="EX11" s="12">
        <f t="shared" si="10"/>
        <v>339.8374811266691</v>
      </c>
      <c r="EY11" s="12">
        <f t="shared" si="43"/>
        <v>229.75812050493539</v>
      </c>
      <c r="EZ11" s="16">
        <f t="shared" si="44"/>
        <v>0.36499743277197749</v>
      </c>
      <c r="FA11" s="16">
        <f t="shared" si="45"/>
        <v>0.24676831956495737</v>
      </c>
      <c r="FB11" s="12">
        <f t="shared" si="71"/>
        <v>201.88234006443417</v>
      </c>
    </row>
    <row r="12" spans="1:158" x14ac:dyDescent="0.15">
      <c r="A12" s="60" t="str">
        <f t="shared" si="11"/>
        <v>2020_1</v>
      </c>
      <c r="B12" s="29">
        <v>2020</v>
      </c>
      <c r="C12" s="4" t="s">
        <v>21</v>
      </c>
      <c r="D12" s="10">
        <v>10.5</v>
      </c>
      <c r="E12" s="10">
        <v>18.899999999999999</v>
      </c>
      <c r="F12" s="10">
        <v>19.5</v>
      </c>
      <c r="G12" s="10">
        <v>19.2</v>
      </c>
      <c r="H12" s="10">
        <v>9</v>
      </c>
      <c r="I12" s="10">
        <v>10.799999999999999</v>
      </c>
      <c r="J12" s="10">
        <v>15</v>
      </c>
      <c r="K12" s="10">
        <v>20.099999999999998</v>
      </c>
      <c r="L12" s="10">
        <v>22.8</v>
      </c>
      <c r="M12" s="10">
        <v>23.099999999999998</v>
      </c>
      <c r="N12" s="10">
        <v>28.799999999999997</v>
      </c>
      <c r="O12" s="10">
        <v>30.299999999999997</v>
      </c>
      <c r="P12" s="10">
        <v>39</v>
      </c>
      <c r="Q12" s="10">
        <v>42.3</v>
      </c>
      <c r="R12" s="10">
        <v>42.3</v>
      </c>
      <c r="S12" s="10">
        <v>30.599999999999998</v>
      </c>
      <c r="T12" s="10">
        <v>29.4</v>
      </c>
      <c r="U12" s="10">
        <v>21.599999999999998</v>
      </c>
      <c r="V12" s="10">
        <v>9.9</v>
      </c>
      <c r="W12" s="10">
        <v>0.3</v>
      </c>
      <c r="X12" s="10">
        <v>0</v>
      </c>
      <c r="Y12" s="10">
        <v>443.40000000000003</v>
      </c>
      <c r="Z12" s="10">
        <f>E12*3/5+F12*3/5</f>
        <v>23.04</v>
      </c>
      <c r="AA12" s="10">
        <f>F12*2/5+G12*1/5</f>
        <v>11.64</v>
      </c>
      <c r="AB12" s="10">
        <f t="shared" ref="AB12:AB14" si="176">SUM(Q12:X12)</f>
        <v>176.4</v>
      </c>
      <c r="AC12" s="10">
        <f>SUM(S12:X12)</f>
        <v>91.8</v>
      </c>
      <c r="AD12" s="14">
        <f>AB12/Y12</f>
        <v>0.39783491204330174</v>
      </c>
      <c r="AE12" s="14">
        <f>AC12/Y12</f>
        <v>0.20703653585926926</v>
      </c>
      <c r="AF12" s="10">
        <f>SUM(H12:K12)</f>
        <v>54.899999999999991</v>
      </c>
      <c r="AK12" s="67">
        <f>管理者入力シート!B5</f>
        <v>2020</v>
      </c>
      <c r="AL12" s="68"/>
      <c r="BH12" s="60" t="str">
        <f t="shared" si="19"/>
        <v>2040_1</v>
      </c>
      <c r="BI12" s="29">
        <f>管理者入力シート!B11</f>
        <v>2040</v>
      </c>
      <c r="BJ12" s="4" t="s">
        <v>21</v>
      </c>
      <c r="BK12" s="10">
        <f>CM13*$AK$13</f>
        <v>5.6848243589584166</v>
      </c>
      <c r="BL12" s="10">
        <f>IF(管理者入力シート!$B$14=1,BK9*管理者用人口入力シート!AM$3,IF(管理者入力シート!$B$14=2,BK9*管理者用人口入力シート!AM$7))</f>
        <v>6.5816072739573048</v>
      </c>
      <c r="BM12" s="10">
        <f>IF(管理者入力シート!$B$14=1,BL9*管理者用人口入力シート!AN$3,IF(管理者入力シート!$B$14=2,BL9*管理者用人口入力シート!AN$7))</f>
        <v>7.1045319078970559</v>
      </c>
      <c r="BN12" s="10">
        <f>IF(管理者入力シート!$B$14=1,BM9*管理者用人口入力シート!AO$3,IF(管理者入力シート!$B$14=2,BM9*管理者用人口入力シート!AO$7))</f>
        <v>6.3399910950160203</v>
      </c>
      <c r="BO12" s="10">
        <f>IF(管理者入力シート!$B$14=1,BN9*管理者用人口入力シート!AP$3,IF(管理者入力シート!$B$14=2,BN9*管理者用人口入力シート!AP$7))</f>
        <v>3.9100454464746766</v>
      </c>
      <c r="BP12" s="10">
        <f>IF(管理者入力シート!$B$14=1,BO9*管理者用人口入力シート!AQ$3,IF(管理者入力シート!$B$14=2,BO9*管理者用人口入力シート!AQ$7))</f>
        <v>6.8789332790880557</v>
      </c>
      <c r="BQ12" s="10">
        <f>IF(管理者入力シート!$B$14=1,BP9*管理者用人口入力シート!AR$3,IF(管理者入力シート!$B$14=2,BP9*管理者用人口入力シート!AR$7))</f>
        <v>7.0123484431033409</v>
      </c>
      <c r="BR12" s="10">
        <f>IF(管理者入力シート!$B$14=1,BQ9*管理者用人口入力シート!AS$3,IF(管理者入力シート!$B$14=2,BQ9*管理者用人口入力シート!AS$7))</f>
        <v>8.8871389229856455</v>
      </c>
      <c r="BS12" s="10">
        <f>IF(管理者入力シート!$B$14=1,BR9*管理者用人口入力シート!AT$3,IF(管理者入力シート!$B$14=2,BR9*管理者用人口入力シート!AT$7))</f>
        <v>8.4754552786055086</v>
      </c>
      <c r="BT12" s="10">
        <f>IF(管理者入力シート!$B$14=1,BS9*管理者用人口入力シート!AU$3,IF(管理者入力シート!$B$14=2,BS9*管理者用人口入力シート!AU$7))</f>
        <v>11.338055407564962</v>
      </c>
      <c r="BU12" s="10">
        <f>IF(管理者入力シート!$B$14=1,BT9*管理者用人口入力シート!AV$3,IF(管理者入力シート!$B$14=2,BT9*管理者用人口入力シート!AV$7))</f>
        <v>16.157085217171197</v>
      </c>
      <c r="BV12" s="10">
        <f>IF(管理者入力シート!$B$14=1,BU9*管理者用人口入力シート!AW$3,IF(管理者入力シート!$B$14=2,BU9*管理者用人口入力シート!AW$7))</f>
        <v>20.682326959521664</v>
      </c>
      <c r="BW12" s="10">
        <f>IF(管理者入力シート!$B$14=1,BV9*管理者用人口入力シート!AX$3,IF(管理者入力シート!$B$14=2,BV9*管理者用人口入力シート!AX$7))</f>
        <v>21.986715023054952</v>
      </c>
      <c r="BX12" s="10">
        <f>IF(管理者入力シート!$B$14=1,BW9*管理者用人口入力シート!AY$3,IF(管理者入力シート!$B$14=2,BW9*管理者用人口入力シート!AY$7))</f>
        <v>20.652681598949226</v>
      </c>
      <c r="BY12" s="10">
        <f>IF(管理者入力シート!$B$14=1,BX9*管理者用人口入力シート!AZ$3,IF(管理者入力シート!$B$14=2,BX9*管理者用人口入力シート!AZ$7))</f>
        <v>23.857244379825506</v>
      </c>
      <c r="BZ12" s="10">
        <f>IF(管理者入力シート!$B$14=1,BY9*管理者用人口入力シート!BA$3,IF(管理者入力シート!$B$14=2,BY9*管理者用人口入力シート!BA$7))</f>
        <v>23.967078384832014</v>
      </c>
      <c r="CA12" s="10">
        <f>IF(管理者入力シート!$B$14=1,BZ9*管理者用人口入力シート!BB$3,IF(管理者入力シート!$B$14=2,BZ9*管理者用人口入力シート!BB$7))</f>
        <v>24.998572692270198</v>
      </c>
      <c r="CB12" s="10">
        <f>IF(管理者入力シート!$B$14=1,CA9*管理者用人口入力シート!BC$3,IF(管理者入力シート!$B$14=2,CA9*管理者用人口入力シート!BC$7))</f>
        <v>20.872809422726228</v>
      </c>
      <c r="CC12" s="10">
        <f>IF(管理者入力シート!$B$14=1,CB9*管理者用人口入力シート!BD$3,IF(管理者入力シート!$B$14=2,CB9*管理者用人口入力シート!BD$7))</f>
        <v>10.008757226223597</v>
      </c>
      <c r="CD12" s="10">
        <f>IF(管理者入力シート!$B$14=1,CC9*管理者用人口入力シート!BE$3,IF(管理者入力シート!$B$14=2,CC9*管理者用人口入力シート!BE$7))</f>
        <v>7.7117797534870065E-3</v>
      </c>
      <c r="CE12" s="10">
        <f>IF(管理者入力シート!$B$14=1,CD9*管理者用人口入力シート!BF$3,IF(管理者入力シート!$B$14=2,CD9*管理者用人口入力シート!BF$7))</f>
        <v>9.4884380193785073E-6</v>
      </c>
      <c r="CF12" s="10">
        <f t="shared" si="2"/>
        <v>255.40392358641705</v>
      </c>
      <c r="CG12" s="10">
        <f t="shared" si="20"/>
        <v>8.2116835091126177</v>
      </c>
      <c r="CH12" s="10">
        <f t="shared" si="21"/>
        <v>4.1098109821620259</v>
      </c>
      <c r="CI12" s="10">
        <f t="shared" si="3"/>
        <v>124.36486497301829</v>
      </c>
      <c r="CJ12" s="10">
        <f t="shared" si="22"/>
        <v>79.854938994243554</v>
      </c>
      <c r="CK12" s="14">
        <f t="shared" si="23"/>
        <v>0.48693404246367766</v>
      </c>
      <c r="CL12" s="14">
        <f t="shared" si="24"/>
        <v>0.31266136350964979</v>
      </c>
      <c r="CM12" s="10">
        <f t="shared" si="25"/>
        <v>26.688466091651719</v>
      </c>
      <c r="CO12" s="60" t="str">
        <f t="shared" si="26"/>
        <v>2040_1</v>
      </c>
      <c r="CP12" s="29">
        <f>管理者入力シート!B11</f>
        <v>2040</v>
      </c>
      <c r="CQ12" s="4" t="s">
        <v>21</v>
      </c>
      <c r="CR12" s="10">
        <f>DT13*$AK$13+将来予測シート②!$G17</f>
        <v>7.9334941651370396</v>
      </c>
      <c r="CS12" s="10">
        <f>IF(管理者入力シート!$B$14=1,CR9*管理者用人口入力シート!AM$3,IF(管理者入力シート!$B$14=2,CR9*管理者用人口入力シート!AM$7))+将来予測シート②!$G18</f>
        <v>8.6161962863281563</v>
      </c>
      <c r="CT12" s="10">
        <f>IF(管理者入力シート!$B$14=1,CS9*管理者用人口入力シート!AN$3,IF(管理者入力シート!$B$14=2,CS9*管理者用人口入力シート!AN$7))+将来予測シート②!$G19</f>
        <v>9.7010797798509678</v>
      </c>
      <c r="CU12" s="10">
        <f>IF(管理者入力シート!$B$14=1,CT9*管理者用人口入力シート!AO$3,IF(管理者入力シート!$B$14=2,CT9*管理者用人口入力シート!AO$7))+将来予測シート②!$G20</f>
        <v>7.8764675274285718</v>
      </c>
      <c r="CV12" s="10">
        <f>IF(管理者入力シート!$B$14=1,CU9*管理者用人口入力シート!AP$3,IF(管理者入力シート!$B$14=2,CU9*管理者用人口入力シート!AP$7))+将来予測シート②!$G21</f>
        <v>4.3141783248604408</v>
      </c>
      <c r="CW12" s="10">
        <f>IF(管理者入力シート!$B$14=1,CV9*管理者用人口入力シート!AQ$3,IF(管理者入力シート!$B$14=2,CV9*管理者用人口入力シート!AQ$7))+将来予測シート②!$G22</f>
        <v>9.2481226440907349</v>
      </c>
      <c r="CX12" s="10">
        <f>IF(管理者入力シート!$B$14=1,CW9*管理者用人口入力シート!AR$3,IF(管理者入力シート!$B$14=2,CW9*管理者用人口入力シート!AR$7))+将来予測シート②!$G23</f>
        <v>8.9604414628696549</v>
      </c>
      <c r="CY12" s="10">
        <f>IF(管理者入力シート!$B$14=1,CX9*管理者用人口入力シート!AS$3,IF(管理者入力シート!$B$14=2,CX9*管理者用人口入力シート!AS$7))+将来予測シート②!$G24</f>
        <v>10.892257334932129</v>
      </c>
      <c r="CZ12" s="10">
        <f>IF(管理者入力シート!$B$14=1,CY9*管理者用人口入力シート!AT$3,IF(管理者入力シート!$B$14=2,CY9*管理者用人口入力シート!AT$7))+将来予測シート②!$G25</f>
        <v>10.53715553451487</v>
      </c>
      <c r="DA12" s="10">
        <f>IF(管理者入力シート!$B$14=1,CZ9*管理者用人口入力シート!AU$3,IF(管理者入力シート!$B$14=2,CZ9*管理者用人口入力シート!AU$7))+将来予測シート②!$G26</f>
        <v>11.338055407564962</v>
      </c>
      <c r="DB12" s="10">
        <f>IF(管理者入力シート!$B$14=1,DA9*管理者用人口入力シート!AV$3,IF(管理者入力シート!$B$14=2,DA9*管理者用人口入力シート!AV$7))+将来予測シート②!$G27</f>
        <v>16.157085217171197</v>
      </c>
      <c r="DC12" s="10">
        <f>IF(管理者入力シート!$B$14=1,DB9*管理者用人口入力シート!AW$3,IF(管理者入力シート!$B$14=2,DB9*管理者用人口入力シート!AW$7))+将来予測シート②!$G28</f>
        <v>20.682326959521664</v>
      </c>
      <c r="DD12" s="10">
        <f>IF(管理者入力シート!$B$14=1,DC9*管理者用人口入力シート!AX$3,IF(管理者入力シート!$B$14=2,DC9*管理者用人口入力シート!AX$7))+将来予測シート②!$G29</f>
        <v>21.986715023054952</v>
      </c>
      <c r="DE12" s="10">
        <f>IF(管理者入力シート!$B$14=1,DD9*管理者用人口入力シート!AY$3,IF(管理者入力シート!$B$14=2,DD9*管理者用人口入力シート!AY$7))</f>
        <v>20.652681598949226</v>
      </c>
      <c r="DF12" s="10">
        <f>IF(管理者入力シート!$B$14=1,DE9*管理者用人口入力シート!AZ$3,IF(管理者入力シート!$B$14=2,DE9*管理者用人口入力シート!AZ$7))</f>
        <v>23.857244379825506</v>
      </c>
      <c r="DG12" s="10">
        <f>IF(管理者入力シート!$B$14=1,DF9*管理者用人口入力シート!BA$3,IF(管理者入力シート!$B$14=2,DF9*管理者用人口入力シート!BA$7))</f>
        <v>23.967078384832014</v>
      </c>
      <c r="DH12" s="10">
        <f>IF(管理者入力シート!$B$14=1,DG9*管理者用人口入力シート!BB$3,IF(管理者入力シート!$B$14=2,DG9*管理者用人口入力シート!BB$7))</f>
        <v>24.998572692270198</v>
      </c>
      <c r="DI12" s="10">
        <f>IF(管理者入力シート!$B$14=1,DH9*管理者用人口入力シート!BC$3,IF(管理者入力シート!$B$14=2,DH9*管理者用人口入力シート!BC$7))</f>
        <v>20.872809422726228</v>
      </c>
      <c r="DJ12" s="10">
        <f>IF(管理者入力シート!$B$14=1,DI9*管理者用人口入力シート!BD$3,IF(管理者入力シート!$B$14=2,DI9*管理者用人口入力シート!BD$7))</f>
        <v>10.008757226223597</v>
      </c>
      <c r="DK12" s="10">
        <f>IF(管理者入力シート!$B$14=1,DJ9*管理者用人口入力シート!BE$3,IF(管理者入力シート!$B$14=2,DJ9*管理者用人口入力シート!BE$7))</f>
        <v>7.7117797534870065E-3</v>
      </c>
      <c r="DL12" s="10">
        <f>IF(管理者入力シート!$B$14=1,DK9*管理者用人口入力シート!BF$3,IF(管理者入力シート!$B$14=2,DK9*管理者用人口入力シート!BF$7))</f>
        <v>9.4884380193785073E-6</v>
      </c>
      <c r="DM12" s="10">
        <f t="shared" si="68"/>
        <v>272.60844064034364</v>
      </c>
      <c r="DN12" s="10">
        <f t="shared" si="34"/>
        <v>10.990365639707475</v>
      </c>
      <c r="DO12" s="10">
        <f t="shared" si="35"/>
        <v>5.4557254174261018</v>
      </c>
      <c r="DP12" s="10">
        <f t="shared" si="6"/>
        <v>124.36486497301829</v>
      </c>
      <c r="DQ12" s="10">
        <f t="shared" si="36"/>
        <v>79.854938994243554</v>
      </c>
      <c r="DR12" s="14">
        <f t="shared" si="37"/>
        <v>0.45620328072341199</v>
      </c>
      <c r="DS12" s="14">
        <f t="shared" si="38"/>
        <v>0.29292907734869938</v>
      </c>
      <c r="DT12" s="10">
        <f t="shared" si="69"/>
        <v>33.414999766752956</v>
      </c>
      <c r="DV12" s="233"/>
      <c r="DX12" s="29">
        <f>管理者入力シート!B11</f>
        <v>2040</v>
      </c>
      <c r="DY12" s="4" t="s">
        <v>21</v>
      </c>
      <c r="DZ12" s="10">
        <f>FB13*$AK$13</f>
        <v>17.728256932271027</v>
      </c>
      <c r="EA12" s="140">
        <f>IF(管理者入力シート!$B$14=1,DZ9*管理者用人口入力シート!AM$3,IF(管理者入力シート!$B$14=2,DZ9*管理者用人口入力シート!AM$7))</f>
        <v>17.838240008331784</v>
      </c>
      <c r="EB12" s="10">
        <f>IF(管理者入力シート!$B$14=1,EA9*管理者用人口入力シート!AN$3,IF(管理者入力シート!$B$14=2,EA9*管理者用人口入力シート!AN$7))</f>
        <v>16.365734014187257</v>
      </c>
      <c r="EC12" s="10">
        <f>IF(管理者入力シート!$B$14=1,EB9*管理者用人口入力シート!AO$3,IF(管理者入力シート!$B$14=2,EB9*管理者用人口入力シート!AO$7))</f>
        <v>6.3399910950160203</v>
      </c>
      <c r="ED12" s="10">
        <f>IF(管理者入力シート!$B$14=1,EC9*管理者用人口入力シート!AP$3,IF(管理者入力シート!$B$14=2,EC9*管理者用人口入力シート!AP$7))</f>
        <v>3.9100454464746766</v>
      </c>
      <c r="EE12" s="10">
        <f>IF(管理者入力シート!$B$14=1,ED9*管理者用人口入力シート!AQ$3,IF(管理者入力シート!$B$14=2,ED9*管理者用人口入力シート!AQ$7))+DX1</f>
        <v>17.878933279088056</v>
      </c>
      <c r="EF12" s="10">
        <f>IF(管理者入力シート!$B$14=1,EE9*管理者用人口入力シート!AR$3,IF(管理者入力シート!$B$14=2,EE9*管理者用人口入力シート!AR$7))+DX1</f>
        <v>28.726860051818072</v>
      </c>
      <c r="EG12" s="10">
        <f>IF(管理者入力シート!$B$14=1,EF9*管理者用人口入力シート!AS$3,IF(管理者入力シート!$B$14=2,EF9*管理者用人口入力シート!AS$7))+DX1</f>
        <v>42.237286781059936</v>
      </c>
      <c r="EH12" s="10">
        <f>IF(管理者入力シート!$B$14=1,EG9*管理者用人口入力シート!AT$3,IF(管理者入力シート!$B$14=2,EG9*管理者用人口入力シート!AT$7))</f>
        <v>42.766701104261948</v>
      </c>
      <c r="EI12" s="10">
        <f>IF(管理者入力シート!$B$14=1,EH9*管理者用人口入力シート!AU$3,IF(管理者入力シート!$B$14=2,EH9*管理者用人口入力シート!AU$7))</f>
        <v>34.712313105768786</v>
      </c>
      <c r="EJ12" s="10">
        <f>IF(管理者入力シート!$B$14=1,EI9*管理者用人口入力シート!AV$3,IF(管理者入力シート!$B$14=2,EI9*管理者用人口入力シート!AV$7))</f>
        <v>27.668643243932721</v>
      </c>
      <c r="EK12" s="10">
        <f>IF(管理者入力シート!$B$14=1,EJ9*管理者用人口入力シート!AW$3,IF(管理者入力シート!$B$14=2,EJ9*管理者用人口入力シート!AW$7))</f>
        <v>20.682326959521664</v>
      </c>
      <c r="EL12" s="10">
        <f>IF(管理者入力シート!$B$14=1,EK9*管理者用人口入力シート!AX$3,IF(管理者入力シート!$B$14=2,EK9*管理者用人口入力シート!AX$7))</f>
        <v>21.986715023054952</v>
      </c>
      <c r="EM12" s="10">
        <f>IF(管理者入力シート!$B$14=1,EL9*管理者用人口入力シート!AY$3,IF(管理者入力シート!$B$14=2,EL9*管理者用人口入力シート!AY$7))</f>
        <v>20.652681598949226</v>
      </c>
      <c r="EN12" s="10">
        <f>IF(管理者入力シート!$B$14=1,EM9*管理者用人口入力シート!AZ$3,IF(管理者入力シート!$B$14=2,EM9*管理者用人口入力シート!AZ$7))</f>
        <v>23.857244379825506</v>
      </c>
      <c r="EO12" s="10">
        <f>IF(管理者入力シート!$B$14=1,EN9*管理者用人口入力シート!BA$3,IF(管理者入力シート!$B$14=2,EN9*管理者用人口入力シート!BA$7))</f>
        <v>23.967078384832014</v>
      </c>
      <c r="EP12" s="10">
        <f>IF(管理者入力シート!$B$14=1,EO9*管理者用人口入力シート!BB$3,IF(管理者入力シート!$B$14=2,EO9*管理者用人口入力シート!BB$7))</f>
        <v>24.998572692270198</v>
      </c>
      <c r="EQ12" s="10">
        <f>IF(管理者入力シート!$B$14=1,EP9*管理者用人口入力シート!BC$3,IF(管理者入力シート!$B$14=2,EP9*管理者用人口入力シート!BC$7))</f>
        <v>20.872809422726228</v>
      </c>
      <c r="ER12" s="10">
        <f>IF(管理者入力シート!$B$14=1,EQ9*管理者用人口入力シート!BD$3,IF(管理者入力シート!$B$14=2,EQ9*管理者用人口入力シート!BD$7))</f>
        <v>10.008757226223597</v>
      </c>
      <c r="ES12" s="10">
        <f>IF(管理者入力シート!$B$14=1,ER9*管理者用人口入力シート!BE$3,IF(管理者入力シート!$B$14=2,ER9*管理者用人口入力シート!BE$7))</f>
        <v>7.7117797534870065E-3</v>
      </c>
      <c r="ET12" s="10">
        <f>IF(管理者入力シート!$B$14=1,ES9*管理者用人口入力シート!BF$3,IF(管理者入力シート!$B$14=2,ES9*管理者用人口入力シート!BF$7))</f>
        <v>9.4884380193785073E-6</v>
      </c>
      <c r="EU12" s="10">
        <f t="shared" si="70"/>
        <v>423.20691201780522</v>
      </c>
      <c r="EV12" s="10">
        <f t="shared" si="41"/>
        <v>20.522384413511425</v>
      </c>
      <c r="EW12" s="10">
        <f t="shared" si="42"/>
        <v>7.8142918246781061</v>
      </c>
      <c r="EX12" s="10">
        <f t="shared" si="10"/>
        <v>124.36486497301829</v>
      </c>
      <c r="EY12" s="10">
        <f t="shared" si="43"/>
        <v>79.854938994243554</v>
      </c>
      <c r="EZ12" s="14">
        <f t="shared" si="44"/>
        <v>0.29386302879615062</v>
      </c>
      <c r="FA12" s="14">
        <f t="shared" si="45"/>
        <v>0.18869006324472293</v>
      </c>
      <c r="FB12" s="10">
        <f t="shared" si="71"/>
        <v>92.753125558440743</v>
      </c>
    </row>
    <row r="13" spans="1:158" x14ac:dyDescent="0.15">
      <c r="A13" s="60" t="str">
        <f t="shared" si="11"/>
        <v>2020_2</v>
      </c>
      <c r="B13" s="30">
        <v>2020</v>
      </c>
      <c r="C13" s="5" t="s">
        <v>22</v>
      </c>
      <c r="D13" s="11">
        <v>12.907588235294117</v>
      </c>
      <c r="E13" s="11">
        <v>16.809882352941177</v>
      </c>
      <c r="F13" s="11">
        <v>19.811647058823528</v>
      </c>
      <c r="G13" s="11">
        <v>15.609176470588235</v>
      </c>
      <c r="H13" s="11">
        <v>15.90935294117647</v>
      </c>
      <c r="I13" s="11">
        <v>11.106529411764706</v>
      </c>
      <c r="J13" s="11">
        <v>12.607411764705882</v>
      </c>
      <c r="K13" s="11">
        <v>17.710411764705881</v>
      </c>
      <c r="L13" s="11">
        <v>24.91464705882353</v>
      </c>
      <c r="M13" s="11">
        <v>31.21835294117647</v>
      </c>
      <c r="N13" s="11">
        <v>27.015882352941173</v>
      </c>
      <c r="O13" s="11">
        <v>33.319588235294113</v>
      </c>
      <c r="P13" s="11">
        <v>40.523823529411764</v>
      </c>
      <c r="Q13" s="11">
        <v>47.728058823529409</v>
      </c>
      <c r="R13" s="11">
        <v>44.426117647058824</v>
      </c>
      <c r="S13" s="11">
        <v>42.625058823529415</v>
      </c>
      <c r="T13" s="11">
        <v>37.822235294117647</v>
      </c>
      <c r="U13" s="11">
        <v>33.019411764705879</v>
      </c>
      <c r="V13" s="11">
        <v>16.809882352941177</v>
      </c>
      <c r="W13" s="11">
        <v>6.0035294117647053</v>
      </c>
      <c r="X13" s="11">
        <v>2.4014117647058821</v>
      </c>
      <c r="Y13" s="11">
        <v>510.3</v>
      </c>
      <c r="Z13" s="11">
        <f t="shared" ref="Z13:Z14" si="177">E13*3/5+F13*3/5</f>
        <v>21.972917647058821</v>
      </c>
      <c r="AA13" s="11">
        <f t="shared" ref="AA13:AA14" si="178">F13*2/5+G13*1/5</f>
        <v>11.046494117647057</v>
      </c>
      <c r="AB13" s="11">
        <f t="shared" si="176"/>
        <v>230.83570588235293</v>
      </c>
      <c r="AC13" s="11">
        <f t="shared" ref="AC13:AC14" si="179">SUM(S13:X13)</f>
        <v>138.6815294117647</v>
      </c>
      <c r="AD13" s="15">
        <f t="shared" ref="AD13:AD14" si="180">AB13/Y13</f>
        <v>0.45235294117647057</v>
      </c>
      <c r="AE13" s="15">
        <f t="shared" ref="AE13:AE14" si="181">AC13/Y13</f>
        <v>0.27176470588235291</v>
      </c>
      <c r="AF13" s="11">
        <f t="shared" ref="AF13:AF14" si="182">SUM(H13:K13)</f>
        <v>57.333705882352938</v>
      </c>
      <c r="AI13" s="66" t="s">
        <v>47</v>
      </c>
      <c r="AJ13" s="1" t="s">
        <v>21</v>
      </c>
      <c r="AK13" s="9">
        <f>VLOOKUP(AK12&amp;"_1",A:D,4,FALSE)/VLOOKUP(AK12&amp;"_2",A:AF,32,FALSE)</f>
        <v>0.18313834486027622</v>
      </c>
      <c r="AL13" s="69"/>
      <c r="BH13" s="60" t="str">
        <f t="shared" si="19"/>
        <v>2040_2</v>
      </c>
      <c r="BI13" s="30">
        <f>BI12</f>
        <v>2040</v>
      </c>
      <c r="BJ13" s="5" t="s">
        <v>22</v>
      </c>
      <c r="BK13" s="11">
        <f>CM13*$AK$14</f>
        <v>6.9883211443242939</v>
      </c>
      <c r="BL13" s="11">
        <f>IF(管理者入力シート!$B$14=1,BK10*管理者用人口入力シート!AM$4,IF(管理者入力シート!$B$14=2,BK10*管理者用人口入力シート!AM$8))</f>
        <v>9.9288988857012637</v>
      </c>
      <c r="BM13" s="11">
        <f>IF(管理者入力シート!$B$14=1,BL10*管理者用人口入力シート!AN$4,IF(管理者入力シート!$B$14=2,BL10*管理者用人口入力シート!AN$8))</f>
        <v>12.398704446197431</v>
      </c>
      <c r="BN13" s="11">
        <f>IF(管理者入力シート!$B$14=1,BM10*管理者用人口入力シート!AO$4,IF(管理者入力シート!$B$14=2,BM10*管理者用人口入力シート!AO$8))</f>
        <v>10.229618927825122</v>
      </c>
      <c r="BO13" s="11">
        <f>IF(管理者入力シート!$B$14=1,BN10*管理者用人口入力シート!AP$4,IF(管理者入力シート!$B$14=2,BN10*管理者用人口入力シート!AP$8))</f>
        <v>7.5449971243448362</v>
      </c>
      <c r="BP13" s="11">
        <f>IF(管理者入力シート!$B$14=1,BO10*管理者用人口入力シート!AQ$4,IF(管理者入力シート!$B$14=2,BO10*管理者用人口入力シート!AQ$8))</f>
        <v>7.5234156823876797</v>
      </c>
      <c r="BQ13" s="11">
        <f>IF(管理者入力シート!$B$14=1,BP10*管理者用人口入力シート!AR$4,IF(管理者入力シート!$B$14=2,BP10*管理者用人口入力シート!AR$8))</f>
        <v>7.7770848450006955</v>
      </c>
      <c r="BR13" s="11">
        <f>IF(管理者入力シート!$B$14=1,BQ10*管理者用人口入力シート!AS$4,IF(管理者入力シート!$B$14=2,BQ10*管理者用人口入力シート!AS$8))</f>
        <v>8.1956497567770228</v>
      </c>
      <c r="BS13" s="11">
        <f>IF(管理者入力シート!$B$14=1,BR10*管理者用人口入力シート!AT$4,IF(管理者入力シート!$B$14=2,BR10*管理者用人口入力シート!AT$8))</f>
        <v>14.307212395434176</v>
      </c>
      <c r="BT13" s="11">
        <f>IF(管理者入力シート!$B$14=1,BS10*管理者用人口入力シート!AU$4,IF(管理者入力シート!$B$14=2,BS10*管理者用人口入力シート!AU$8))</f>
        <v>12.161765047909157</v>
      </c>
      <c r="BU13" s="11">
        <f>IF(管理者入力シート!$B$14=1,BT10*管理者用人口入力シート!AV$4,IF(管理者入力シート!$B$14=2,BT10*管理者用人口入力シート!AV$8))</f>
        <v>13.468088373290696</v>
      </c>
      <c r="BV13" s="11">
        <f>IF(管理者入力シート!$B$14=1,BU10*管理者用人口入力シート!AW$4,IF(管理者入力シート!$B$14=2,BU10*管理者用人口入力シート!AW$8))</f>
        <v>19.264651260507254</v>
      </c>
      <c r="BW13" s="11">
        <f>IF(管理者入力シート!$B$14=1,BV10*管理者用人口入力シート!AX$4,IF(管理者入力シート!$B$14=2,BV10*管理者用人口入力シート!AX$8))</f>
        <v>25.915650871961294</v>
      </c>
      <c r="BX13" s="11">
        <f>IF(管理者入力シート!$B$14=1,BW10*管理者用人口入力シート!AY$4,IF(管理者入力シート!$B$14=2,BW10*管理者用人口入力シート!AY$8))</f>
        <v>30.000338433384478</v>
      </c>
      <c r="BY13" s="11">
        <f>IF(管理者入力シート!$B$14=1,BX10*管理者用人口入力シート!AZ$4,IF(管理者入力シート!$B$14=2,BX10*管理者用人口入力シート!AZ$8))</f>
        <v>26.274885312394552</v>
      </c>
      <c r="BZ13" s="11">
        <f>IF(管理者入力シート!$B$14=1,BY10*管理者用人口入力シート!BA$4,IF(管理者入力シート!$B$14=2,BY10*管理者用人口入力シート!BA$8))</f>
        <v>29.926472128130264</v>
      </c>
      <c r="CA13" s="11">
        <f>IF(管理者入力シート!$B$14=1,BZ10*管理者用人口入力シート!BB$4,IF(管理者入力シート!$B$14=2,BZ10*管理者用人口入力シート!BB$8))</f>
        <v>35.207276290383817</v>
      </c>
      <c r="CB13" s="11">
        <f>IF(管理者入力シート!$B$14=1,CA10*管理者用人口入力シート!BC$4,IF(管理者入力シート!$B$14=2,CA10*管理者用人口入力シート!BC$8))</f>
        <v>33.601362357318528</v>
      </c>
      <c r="CC13" s="11">
        <f>IF(管理者入力シート!$B$14=1,CB10*管理者用人口入力シート!BD$4,IF(管理者入力シート!$B$14=2,CB10*管理者用人口入力シート!BD$8))</f>
        <v>21.213262961352598</v>
      </c>
      <c r="CD13" s="11">
        <f>IF(管理者入力シート!$B$14=1,CC10*管理者用人口入力シート!BE$4,IF(管理者入力シート!$B$14=2,CC10*管理者用人口入力シート!BE$8))</f>
        <v>6.8201971209352088</v>
      </c>
      <c r="CE13" s="11">
        <f>IF(管理者入力シート!$B$14=1,CD10*管理者用人口入力シート!BF$4,IF(管理者入力シート!$B$14=2,CD10*管理者用人口入力シート!BF$8))</f>
        <v>0.13713713312468226</v>
      </c>
      <c r="CF13" s="11">
        <f t="shared" si="2"/>
        <v>338.88499049868506</v>
      </c>
      <c r="CG13" s="11">
        <f t="shared" si="20"/>
        <v>13.396561999139216</v>
      </c>
      <c r="CH13" s="11">
        <f t="shared" si="21"/>
        <v>7.0054055640439969</v>
      </c>
      <c r="CI13" s="11">
        <f t="shared" si="3"/>
        <v>183.18093173702414</v>
      </c>
      <c r="CJ13" s="11">
        <f t="shared" si="22"/>
        <v>126.90570799124508</v>
      </c>
      <c r="CK13" s="15">
        <f t="shared" si="23"/>
        <v>0.54054011500321941</v>
      </c>
      <c r="CL13" s="15">
        <f t="shared" si="24"/>
        <v>0.37448016745886981</v>
      </c>
      <c r="CM13" s="11">
        <f t="shared" si="25"/>
        <v>31.041147408510234</v>
      </c>
      <c r="CO13" s="60" t="str">
        <f t="shared" si="26"/>
        <v>2040_2</v>
      </c>
      <c r="CP13" s="30">
        <f>CP12</f>
        <v>2040</v>
      </c>
      <c r="CQ13" s="5" t="s">
        <v>22</v>
      </c>
      <c r="CR13" s="11">
        <f>DT13*$AK$14+将来予測シート②!$H17</f>
        <v>9.5233035919431686</v>
      </c>
      <c r="CS13" s="11">
        <f>IF(管理者入力シート!$B$14=1,CR10*管理者用人口入力シート!AM$4,IF(管理者入力シート!$B$14=2,CR10*管理者用人口入力シート!AM$8))+将来予測シート②!$H18</f>
        <v>12.735239409319929</v>
      </c>
      <c r="CT13" s="11">
        <f>IF(管理者入力シート!$B$14=1,CS10*管理者用人口入力シート!AN$4,IF(管理者入力シート!$B$14=2,CS10*管理者用人口入力シート!AN$8))+将来予測シート②!$H19</f>
        <v>15.88502357579137</v>
      </c>
      <c r="CU13" s="11">
        <f>IF(管理者入力シート!$B$14=1,CT10*管理者用人口入力シート!AO$4,IF(管理者入力シート!$B$14=2,CT10*管理者用人口入力シート!AO$8))+将来予測シート②!$H20</f>
        <v>11.936055284527948</v>
      </c>
      <c r="CV13" s="11">
        <f>IF(管理者入力シート!$B$14=1,CU10*管理者用人口入力シート!AP$4,IF(管理者入力シート!$B$14=2,CU10*管理者用人口入力シート!AP$8))+将来予測シート②!$H21</f>
        <v>7.9918459479110666</v>
      </c>
      <c r="CW13" s="11">
        <f>IF(管理者入力シート!$B$14=1,CV10*管理者用人口入力シート!AQ$4,IF(管理者入力シート!$B$14=2,CV10*管理者用人口入力シート!AQ$8))+将来予測シート②!$H22</f>
        <v>9.9158514275159639</v>
      </c>
      <c r="CX13" s="11">
        <f>IF(管理者入力シート!$B$14=1,CW10*管理者用人口入力シート!AR$4,IF(管理者入力シート!$B$14=2,CW10*管理者用人口入力シート!AR$8))+将来予測シート②!$H23</f>
        <v>9.7776729938150559</v>
      </c>
      <c r="CY13" s="11">
        <f>IF(管理者入力シート!$B$14=1,CX10*管理者用人口入力シート!AS$4,IF(管理者入力シート!$B$14=2,CX10*管理者用人口入力シート!AS$8))+将来予測シート②!$H24</f>
        <v>10.173954887993844</v>
      </c>
      <c r="CZ13" s="11">
        <f>IF(管理者入力シート!$B$14=1,CY10*管理者用人口入力シート!AT$4,IF(管理者入力シート!$B$14=2,CY10*管理者用人口入力シート!AT$8))+将来予測シート②!$H25</f>
        <v>17.355186986456204</v>
      </c>
      <c r="DA13" s="11">
        <f>IF(管理者入力シート!$B$14=1,CZ10*管理者用人口入力シート!AU$4,IF(管理者入力シート!$B$14=2,CZ10*管理者用人口入力シート!AU$8))+将来予測シート②!$H26</f>
        <v>13.231124394323965</v>
      </c>
      <c r="DB13" s="11">
        <f>IF(管理者入力シート!$B$14=1,DA10*管理者用人口入力シート!AV$4,IF(管理者入力シート!$B$14=2,DA10*管理者用人口入力シート!AV$8))+将来予測シート②!$H27</f>
        <v>14.511638097792529</v>
      </c>
      <c r="DC13" s="11">
        <f>IF(管理者入力シート!$B$14=1,DB10*管理者用人口入力シート!AW$4,IF(管理者入力シート!$B$14=2,DB10*管理者用人口入力シート!AW$8))+将来予測シート②!$H28</f>
        <v>20.315405634026369</v>
      </c>
      <c r="DD13" s="11">
        <f>IF(管理者入力シート!$B$14=1,DC10*管理者用人口入力シート!AX$4,IF(管理者入力シート!$B$14=2,DC10*管理者用人口入力シート!AX$8))+将来予測シート②!$H29</f>
        <v>25.915650871961294</v>
      </c>
      <c r="DE13" s="11">
        <f>IF(管理者入力シート!$B$14=1,DD10*管理者用人口入力シート!AY$4,IF(管理者入力シート!$B$14=2,DD10*管理者用人口入力シート!AY$8))</f>
        <v>30.000338433384478</v>
      </c>
      <c r="DF13" s="11">
        <f>IF(管理者入力シート!$B$14=1,DE10*管理者用人口入力シート!AZ$4,IF(管理者入力シート!$B$14=2,DE10*管理者用人口入力シート!AZ$8))</f>
        <v>26.274885312394552</v>
      </c>
      <c r="DG13" s="11">
        <f>IF(管理者入力シート!$B$14=1,DF10*管理者用人口入力シート!BA$4,IF(管理者入力シート!$B$14=2,DF10*管理者用人口入力シート!BA$8))</f>
        <v>29.926472128130264</v>
      </c>
      <c r="DH13" s="11">
        <f>IF(管理者入力シート!$B$14=1,DG10*管理者用人口入力シート!BB$4,IF(管理者入力シート!$B$14=2,DG10*管理者用人口入力シート!BB$8))</f>
        <v>35.207276290383817</v>
      </c>
      <c r="DI13" s="11">
        <f>IF(管理者入力シート!$B$14=1,DH10*管理者用人口入力シート!BC$4,IF(管理者入力シート!$B$14=2,DH10*管理者用人口入力シート!BC$8))</f>
        <v>33.601362357318528</v>
      </c>
      <c r="DJ13" s="11">
        <f>IF(管理者入力シート!$B$14=1,DI10*管理者用人口入力シート!BD$4,IF(管理者入力シート!$B$14=2,DI10*管理者用人口入力シート!BD$8))</f>
        <v>21.213262961352598</v>
      </c>
      <c r="DK13" s="11">
        <f>IF(管理者入力シート!$B$14=1,DJ10*管理者用人口入力シート!BE$4,IF(管理者入力シート!$B$14=2,DJ10*管理者用人口入力シート!BE$8))</f>
        <v>6.8201971209352088</v>
      </c>
      <c r="DL13" s="11">
        <f>IF(管理者入力シート!$B$14=1,DK10*管理者用人口入力シート!BF$4,IF(管理者入力シート!$B$14=2,DK10*管理者用人口入力シート!BF$8))</f>
        <v>0.13713713312468226</v>
      </c>
      <c r="DM13" s="11">
        <f t="shared" si="68"/>
        <v>362.44888484040291</v>
      </c>
      <c r="DN13" s="11">
        <f t="shared" si="34"/>
        <v>17.17215779106678</v>
      </c>
      <c r="DO13" s="11">
        <f t="shared" si="35"/>
        <v>8.7412204872221366</v>
      </c>
      <c r="DP13" s="11">
        <f t="shared" si="6"/>
        <v>183.18093173702414</v>
      </c>
      <c r="DQ13" s="11">
        <f t="shared" si="36"/>
        <v>126.90570799124508</v>
      </c>
      <c r="DR13" s="15">
        <f t="shared" si="37"/>
        <v>0.50539797306228207</v>
      </c>
      <c r="DS13" s="15">
        <f t="shared" si="38"/>
        <v>0.35013408317458461</v>
      </c>
      <c r="DT13" s="11">
        <f t="shared" si="69"/>
        <v>37.85932525723593</v>
      </c>
      <c r="DV13" s="68"/>
      <c r="DX13" s="30">
        <f>DX12</f>
        <v>2040</v>
      </c>
      <c r="DY13" s="5" t="s">
        <v>22</v>
      </c>
      <c r="DZ13" s="11">
        <f>FB13*$AK$14</f>
        <v>21.793241962976467</v>
      </c>
      <c r="EA13" s="11">
        <f>IF(管理者入力シート!$B$14=1,DZ10*管理者用人口入力シート!AM$4,IF(管理者入力シート!$B$14=2,DZ10*管理者用人口入力シート!AM$8))</f>
        <v>26.910460313002584</v>
      </c>
      <c r="EB13" s="11">
        <f>IF(管理者入力シート!$B$14=1,EA10*管理者用人口入力シート!AN$4,IF(管理者入力シート!$B$14=2,EA10*管理者用人口入力シート!AN$8))</f>
        <v>28.561191886750308</v>
      </c>
      <c r="EC13" s="11">
        <f>IF(管理者入力シート!$B$14=1,EB10*管理者用人口入力シート!AO$4,IF(管理者入力シート!$B$14=2,EB10*管理者用人口入力シート!AO$8))</f>
        <v>10.229618927825122</v>
      </c>
      <c r="ED13" s="11">
        <f>IF(管理者入力シート!$B$14=1,EC10*管理者用人口入力シート!AP$4,IF(管理者入力シート!$B$14=2,EC10*管理者用人口入力シート!AP$8))</f>
        <v>7.5449971243448362</v>
      </c>
      <c r="EE13" s="11">
        <f>IF(管理者入力シート!$B$14=1,ED10*管理者用人口入力シート!AQ$4,IF(管理者入力シート!$B$14=2,ED10*管理者用人口入力シート!AQ$8))+DX1</f>
        <v>18.523415682387679</v>
      </c>
      <c r="EF13" s="11">
        <f>IF(管理者入力シート!$B$14=1,EE10*管理者用人口入力シート!AR$4,IF(管理者入力シート!$B$14=2,EE10*管理者用人口入力シート!AR$8))+DX1</f>
        <v>29.780319663479677</v>
      </c>
      <c r="EG13" s="11">
        <f>IF(管理者入力シート!$B$14=1,EF10*管理者用人口入力シート!AS$4,IF(管理者入力シート!$B$14=2,EF10*管理者用人口入力シート!AS$8))+DX1</f>
        <v>40.953807411846071</v>
      </c>
      <c r="EH13" s="11">
        <f>IF(管理者入力シート!$B$14=1,EG10*管理者用人口入力シート!AT$4,IF(管理者入力シート!$B$14=2,EG10*管理者用人口入力シート!AT$8))</f>
        <v>48.219005610574094</v>
      </c>
      <c r="EI13" s="11">
        <f>IF(管理者入力シート!$B$14=1,EH10*管理者用人口入力シート!AU$4,IF(管理者入力シート!$B$14=2,EH10*管理者用人口入力シート!AU$8))</f>
        <v>36.380543840493353</v>
      </c>
      <c r="EJ13" s="11">
        <f>IF(管理者入力シート!$B$14=1,EI10*管理者用人口入力シート!AV$4,IF(管理者入力シート!$B$14=2,EI10*管理者用人口入力シート!AV$8))</f>
        <v>25.35138996906921</v>
      </c>
      <c r="EK13" s="11">
        <f>IF(管理者入力シート!$B$14=1,EJ10*管理者用人口入力シート!AW$4,IF(管理者入力シート!$B$14=2,EJ10*管理者用人口入力シート!AW$8))</f>
        <v>19.264651260507254</v>
      </c>
      <c r="EL13" s="11">
        <f>IF(管理者入力シート!$B$14=1,EK10*管理者用人口入力シート!AX$4,IF(管理者入力シート!$B$14=2,EK10*管理者用人口入力シート!AX$8))</f>
        <v>25.915650871961294</v>
      </c>
      <c r="EM13" s="11">
        <f>IF(管理者入力シート!$B$14=1,EL10*管理者用人口入力シート!AY$4,IF(管理者入力シート!$B$14=2,EL10*管理者用人口入力シート!AY$8))</f>
        <v>30.000338433384478</v>
      </c>
      <c r="EN13" s="11">
        <f>IF(管理者入力シート!$B$14=1,EM10*管理者用人口入力シート!AZ$4,IF(管理者入力シート!$B$14=2,EM10*管理者用人口入力シート!AZ$8))</f>
        <v>26.274885312394552</v>
      </c>
      <c r="EO13" s="11">
        <f>IF(管理者入力シート!$B$14=1,EN10*管理者用人口入力シート!BA$4,IF(管理者入力シート!$B$14=2,EN10*管理者用人口入力シート!BA$8))</f>
        <v>29.926472128130264</v>
      </c>
      <c r="EP13" s="11">
        <f>IF(管理者入力シート!$B$14=1,EO10*管理者用人口入力シート!BB$4,IF(管理者入力シート!$B$14=2,EO10*管理者用人口入力シート!BB$8))</f>
        <v>35.207276290383817</v>
      </c>
      <c r="EQ13" s="11">
        <f>IF(管理者入力シート!$B$14=1,EP10*管理者用人口入力シート!BC$4,IF(管理者入力シート!$B$14=2,EP10*管理者用人口入力シート!BC$8))</f>
        <v>33.601362357318528</v>
      </c>
      <c r="ER13" s="11">
        <f>IF(管理者入力シート!$B$14=1,EQ10*管理者用人口入力シート!BD$4,IF(管理者入力シート!$B$14=2,EQ10*管理者用人口入力シート!BD$8))</f>
        <v>21.213262961352598</v>
      </c>
      <c r="ES13" s="11">
        <f>IF(管理者入力シート!$B$14=1,ER10*管理者用人口入力シート!BE$4,IF(管理者入力シート!$B$14=2,ER10*管理者用人口入力シート!BE$8))</f>
        <v>6.8201971209352088</v>
      </c>
      <c r="ET13" s="11">
        <f>IF(管理者入力シート!$B$14=1,ES10*管理者用人口入力シート!BF$4,IF(管理者入力シート!$B$14=2,ES10*管理者用人口入力シート!BF$8))</f>
        <v>0.13713713312468226</v>
      </c>
      <c r="EU13" s="11">
        <f t="shared" si="70"/>
        <v>522.60922626224203</v>
      </c>
      <c r="EV13" s="11">
        <f t="shared" si="41"/>
        <v>33.282991319851732</v>
      </c>
      <c r="EW13" s="11">
        <f t="shared" si="42"/>
        <v>13.470400540265148</v>
      </c>
      <c r="EX13" s="11">
        <f t="shared" si="10"/>
        <v>183.18093173702414</v>
      </c>
      <c r="EY13" s="11">
        <f t="shared" si="43"/>
        <v>126.90570799124508</v>
      </c>
      <c r="EZ13" s="15">
        <f t="shared" si="44"/>
        <v>0.35051224228694555</v>
      </c>
      <c r="FA13" s="15">
        <f t="shared" si="45"/>
        <v>0.24283097506503759</v>
      </c>
      <c r="FB13" s="11">
        <f t="shared" si="71"/>
        <v>96.802539882058255</v>
      </c>
    </row>
    <row r="14" spans="1:158" x14ac:dyDescent="0.15">
      <c r="A14" s="60" t="str">
        <f t="shared" si="11"/>
        <v>2020_3</v>
      </c>
      <c r="B14" s="31">
        <v>2020</v>
      </c>
      <c r="C14" s="6" t="s">
        <v>23</v>
      </c>
      <c r="D14" s="12">
        <v>23.407588235294117</v>
      </c>
      <c r="E14" s="12">
        <v>35.709882352941179</v>
      </c>
      <c r="F14" s="12">
        <v>39.311647058823525</v>
      </c>
      <c r="G14" s="12">
        <v>34.809176470588234</v>
      </c>
      <c r="H14" s="12">
        <v>24.909352941176472</v>
      </c>
      <c r="I14" s="12">
        <v>21.906529411764705</v>
      </c>
      <c r="J14" s="12">
        <v>27.60741176470588</v>
      </c>
      <c r="K14" s="12">
        <v>37.810411764705876</v>
      </c>
      <c r="L14" s="12">
        <v>47.71464705882353</v>
      </c>
      <c r="M14" s="12">
        <v>54.318352941176471</v>
      </c>
      <c r="N14" s="12">
        <v>55.815882352941173</v>
      </c>
      <c r="O14" s="12">
        <v>63.61958823529411</v>
      </c>
      <c r="P14" s="12">
        <v>79.523823529411771</v>
      </c>
      <c r="Q14" s="12">
        <v>90.028058823529406</v>
      </c>
      <c r="R14" s="12">
        <v>86.726117647058828</v>
      </c>
      <c r="S14" s="12">
        <v>73.225058823529409</v>
      </c>
      <c r="T14" s="12">
        <v>67.222235294117638</v>
      </c>
      <c r="U14" s="12">
        <v>54.619411764705873</v>
      </c>
      <c r="V14" s="12">
        <v>26.709882352941179</v>
      </c>
      <c r="W14" s="12">
        <v>6.3035294117647052</v>
      </c>
      <c r="X14" s="12">
        <v>2.4014117647058821</v>
      </c>
      <c r="Y14" s="12">
        <v>953.69999999999982</v>
      </c>
      <c r="Z14" s="12">
        <f t="shared" si="177"/>
        <v>45.012917647058821</v>
      </c>
      <c r="AA14" s="12">
        <f t="shared" si="178"/>
        <v>22.686494117647058</v>
      </c>
      <c r="AB14" s="12">
        <f t="shared" si="176"/>
        <v>407.23570588235293</v>
      </c>
      <c r="AC14" s="12">
        <f t="shared" si="179"/>
        <v>230.48152941176471</v>
      </c>
      <c r="AD14" s="16">
        <f t="shared" si="180"/>
        <v>0.42700608774494392</v>
      </c>
      <c r="AE14" s="16">
        <f t="shared" si="181"/>
        <v>0.24167089169735215</v>
      </c>
      <c r="AF14" s="12">
        <f t="shared" si="182"/>
        <v>112.23370588235294</v>
      </c>
      <c r="AI14" s="48"/>
      <c r="AJ14" s="1" t="s">
        <v>22</v>
      </c>
      <c r="AK14" s="9">
        <f>VLOOKUP(AK12&amp;"_2",A:D,4,FALSE)/VLOOKUP(AK12&amp;"_2",A:AF,32,FALSE)</f>
        <v>0.22513089005235604</v>
      </c>
      <c r="AL14" s="69"/>
      <c r="BH14" s="60" t="str">
        <f t="shared" si="19"/>
        <v>2040_3</v>
      </c>
      <c r="BI14" s="31">
        <f>BI13</f>
        <v>2040</v>
      </c>
      <c r="BJ14" s="6" t="s">
        <v>23</v>
      </c>
      <c r="BK14" s="17">
        <f>BK12+BK13</f>
        <v>12.673145503282711</v>
      </c>
      <c r="BL14" s="17">
        <f t="shared" ref="BL14" si="183">BL12+BL13</f>
        <v>16.510506159658568</v>
      </c>
      <c r="BM14" s="17">
        <f t="shared" ref="BM14" si="184">BM12+BM13</f>
        <v>19.503236354094486</v>
      </c>
      <c r="BN14" s="17">
        <f t="shared" ref="BN14" si="185">BN12+BN13</f>
        <v>16.569610022841143</v>
      </c>
      <c r="BO14" s="17">
        <f t="shared" ref="BO14" si="186">BO12+BO13</f>
        <v>11.455042570819513</v>
      </c>
      <c r="BP14" s="17">
        <f t="shared" ref="BP14" si="187">BP12+BP13</f>
        <v>14.402348961475735</v>
      </c>
      <c r="BQ14" s="17">
        <f t="shared" ref="BQ14" si="188">BQ12+BQ13</f>
        <v>14.789433288104036</v>
      </c>
      <c r="BR14" s="17">
        <f t="shared" ref="BR14" si="189">BR12+BR13</f>
        <v>17.082788679762668</v>
      </c>
      <c r="BS14" s="17">
        <f t="shared" ref="BS14" si="190">BS12+BS13</f>
        <v>22.782667674039686</v>
      </c>
      <c r="BT14" s="17">
        <f t="shared" ref="BT14" si="191">BT12+BT13</f>
        <v>23.499820455474119</v>
      </c>
      <c r="BU14" s="17">
        <f t="shared" ref="BU14" si="192">BU12+BU13</f>
        <v>29.625173590461891</v>
      </c>
      <c r="BV14" s="17">
        <f t="shared" ref="BV14" si="193">BV12+BV13</f>
        <v>39.946978220028917</v>
      </c>
      <c r="BW14" s="17">
        <f t="shared" ref="BW14" si="194">BW12+BW13</f>
        <v>47.902365895016246</v>
      </c>
      <c r="BX14" s="17">
        <f t="shared" ref="BX14" si="195">BX12+BX13</f>
        <v>50.6530200323337</v>
      </c>
      <c r="BY14" s="17">
        <f t="shared" ref="BY14" si="196">BY12+BY13</f>
        <v>50.132129692220062</v>
      </c>
      <c r="BZ14" s="17">
        <f t="shared" ref="BZ14" si="197">BZ12+BZ13</f>
        <v>53.893550512962278</v>
      </c>
      <c r="CA14" s="17">
        <f t="shared" ref="CA14" si="198">CA12+CA13</f>
        <v>60.205848982654018</v>
      </c>
      <c r="CB14" s="17">
        <f t="shared" ref="CB14" si="199">CB12+CB13</f>
        <v>54.474171780044756</v>
      </c>
      <c r="CC14" s="17">
        <f t="shared" ref="CC14" si="200">CC12+CC13</f>
        <v>31.222020187576195</v>
      </c>
      <c r="CD14" s="17">
        <f t="shared" ref="CD14" si="201">CD12+CD13</f>
        <v>6.8279089006886959</v>
      </c>
      <c r="CE14" s="17">
        <f t="shared" ref="CE14" si="202">CE12+CE13</f>
        <v>0.13714662156270163</v>
      </c>
      <c r="CF14" s="12">
        <f t="shared" si="2"/>
        <v>594.28891408510219</v>
      </c>
      <c r="CG14" s="12">
        <f t="shared" si="20"/>
        <v>21.608245508251834</v>
      </c>
      <c r="CH14" s="12">
        <f t="shared" si="21"/>
        <v>11.115216546206023</v>
      </c>
      <c r="CI14" s="12">
        <f t="shared" si="3"/>
        <v>307.5457967100424</v>
      </c>
      <c r="CJ14" s="12">
        <f t="shared" si="22"/>
        <v>206.76064698548862</v>
      </c>
      <c r="CK14" s="16">
        <f t="shared" si="23"/>
        <v>0.51750216001169058</v>
      </c>
      <c r="CL14" s="16">
        <f t="shared" si="24"/>
        <v>0.34791267695745792</v>
      </c>
      <c r="CM14" s="12">
        <f t="shared" si="25"/>
        <v>57.729613500161946</v>
      </c>
      <c r="CO14" s="60" t="str">
        <f t="shared" si="26"/>
        <v>2040_3</v>
      </c>
      <c r="CP14" s="31">
        <f>CP13</f>
        <v>2040</v>
      </c>
      <c r="CQ14" s="6" t="s">
        <v>23</v>
      </c>
      <c r="CR14" s="17">
        <f>CR12+CR13</f>
        <v>17.45679775708021</v>
      </c>
      <c r="CS14" s="17">
        <f t="shared" ref="CS14" si="203">CS12+CS13</f>
        <v>21.351435695648085</v>
      </c>
      <c r="CT14" s="17">
        <f t="shared" ref="CT14" si="204">CT12+CT13</f>
        <v>25.586103355642337</v>
      </c>
      <c r="CU14" s="17">
        <f t="shared" ref="CU14" si="205">CU12+CU13</f>
        <v>19.812522811956519</v>
      </c>
      <c r="CV14" s="17">
        <f t="shared" ref="CV14" si="206">CV12+CV13</f>
        <v>12.306024272771507</v>
      </c>
      <c r="CW14" s="17">
        <f t="shared" ref="CW14" si="207">CW12+CW13</f>
        <v>19.163974071606699</v>
      </c>
      <c r="CX14" s="17">
        <f t="shared" ref="CX14" si="208">CX12+CX13</f>
        <v>18.738114456684713</v>
      </c>
      <c r="CY14" s="17">
        <f t="shared" ref="CY14" si="209">CY12+CY13</f>
        <v>21.066212222925973</v>
      </c>
      <c r="CZ14" s="17">
        <f t="shared" ref="CZ14" si="210">CZ12+CZ13</f>
        <v>27.892342520971074</v>
      </c>
      <c r="DA14" s="17">
        <f t="shared" ref="DA14" si="211">DA12+DA13</f>
        <v>24.569179801888929</v>
      </c>
      <c r="DB14" s="17">
        <f t="shared" ref="DB14" si="212">DB12+DB13</f>
        <v>30.668723314963728</v>
      </c>
      <c r="DC14" s="17">
        <f t="shared" ref="DC14" si="213">DC12+DC13</f>
        <v>40.997732593548037</v>
      </c>
      <c r="DD14" s="17">
        <f t="shared" ref="DD14" si="214">DD12+DD13</f>
        <v>47.902365895016246</v>
      </c>
      <c r="DE14" s="17">
        <f t="shared" ref="DE14" si="215">DE12+DE13</f>
        <v>50.6530200323337</v>
      </c>
      <c r="DF14" s="17">
        <f t="shared" ref="DF14" si="216">DF12+DF13</f>
        <v>50.132129692220062</v>
      </c>
      <c r="DG14" s="17">
        <f t="shared" ref="DG14" si="217">DG12+DG13</f>
        <v>53.893550512962278</v>
      </c>
      <c r="DH14" s="17">
        <f t="shared" ref="DH14" si="218">DH12+DH13</f>
        <v>60.205848982654018</v>
      </c>
      <c r="DI14" s="17">
        <f t="shared" ref="DI14" si="219">DI12+DI13</f>
        <v>54.474171780044756</v>
      </c>
      <c r="DJ14" s="17">
        <f t="shared" ref="DJ14" si="220">DJ12+DJ13</f>
        <v>31.222020187576195</v>
      </c>
      <c r="DK14" s="17">
        <f t="shared" ref="DK14" si="221">DK12+DK13</f>
        <v>6.8279089006886959</v>
      </c>
      <c r="DL14" s="17">
        <f t="shared" ref="DL14" si="222">DL12+DL13</f>
        <v>0.13714662156270163</v>
      </c>
      <c r="DM14" s="12">
        <f t="shared" si="68"/>
        <v>635.05732548074661</v>
      </c>
      <c r="DN14" s="12">
        <f t="shared" si="34"/>
        <v>28.16252343077425</v>
      </c>
      <c r="DO14" s="12">
        <f t="shared" si="35"/>
        <v>14.196945904648238</v>
      </c>
      <c r="DP14" s="12">
        <f t="shared" si="6"/>
        <v>307.5457967100424</v>
      </c>
      <c r="DQ14" s="12">
        <f t="shared" si="36"/>
        <v>206.76064698548862</v>
      </c>
      <c r="DR14" s="16">
        <f t="shared" si="37"/>
        <v>0.48428037024409765</v>
      </c>
      <c r="DS14" s="16">
        <f t="shared" si="38"/>
        <v>0.32557792610134545</v>
      </c>
      <c r="DT14" s="12">
        <f t="shared" si="69"/>
        <v>71.274325023988894</v>
      </c>
      <c r="DX14" s="31">
        <f>DX13</f>
        <v>2040</v>
      </c>
      <c r="DY14" s="6" t="s">
        <v>23</v>
      </c>
      <c r="DZ14" s="17">
        <f>DZ12+DZ13</f>
        <v>39.52149889524749</v>
      </c>
      <c r="EA14" s="17">
        <f t="shared" ref="EA14" si="223">EA12+EA13</f>
        <v>44.748700321334368</v>
      </c>
      <c r="EB14" s="17">
        <f t="shared" ref="EB14" si="224">EB12+EB13</f>
        <v>44.926925900937562</v>
      </c>
      <c r="EC14" s="17">
        <f t="shared" ref="EC14" si="225">EC12+EC13</f>
        <v>16.569610022841143</v>
      </c>
      <c r="ED14" s="17">
        <f t="shared" ref="ED14" si="226">ED12+ED13</f>
        <v>11.455042570819513</v>
      </c>
      <c r="EE14" s="17">
        <f t="shared" ref="EE14" si="227">EE12+EE13</f>
        <v>36.402348961475738</v>
      </c>
      <c r="EF14" s="17">
        <f t="shared" ref="EF14" si="228">EF12+EF13</f>
        <v>58.507179715297752</v>
      </c>
      <c r="EG14" s="17">
        <f t="shared" ref="EG14" si="229">EG12+EG13</f>
        <v>83.191094192906007</v>
      </c>
      <c r="EH14" s="17">
        <f t="shared" ref="EH14" si="230">EH12+EH13</f>
        <v>90.985706714836041</v>
      </c>
      <c r="EI14" s="17">
        <f t="shared" ref="EI14" si="231">EI12+EI13</f>
        <v>71.092856946262145</v>
      </c>
      <c r="EJ14" s="17">
        <f t="shared" ref="EJ14" si="232">EJ12+EJ13</f>
        <v>53.020033213001931</v>
      </c>
      <c r="EK14" s="17">
        <f t="shared" ref="EK14" si="233">EK12+EK13</f>
        <v>39.946978220028917</v>
      </c>
      <c r="EL14" s="17">
        <f t="shared" ref="EL14" si="234">EL12+EL13</f>
        <v>47.902365895016246</v>
      </c>
      <c r="EM14" s="17">
        <f t="shared" ref="EM14" si="235">EM12+EM13</f>
        <v>50.6530200323337</v>
      </c>
      <c r="EN14" s="17">
        <f t="shared" ref="EN14" si="236">EN12+EN13</f>
        <v>50.132129692220062</v>
      </c>
      <c r="EO14" s="17">
        <f t="shared" ref="EO14" si="237">EO12+EO13</f>
        <v>53.893550512962278</v>
      </c>
      <c r="EP14" s="17">
        <f t="shared" ref="EP14" si="238">EP12+EP13</f>
        <v>60.205848982654018</v>
      </c>
      <c r="EQ14" s="17">
        <f t="shared" ref="EQ14" si="239">EQ12+EQ13</f>
        <v>54.474171780044756</v>
      </c>
      <c r="ER14" s="17">
        <f t="shared" ref="ER14" si="240">ER12+ER13</f>
        <v>31.222020187576195</v>
      </c>
      <c r="ES14" s="17">
        <f t="shared" ref="ES14" si="241">ES12+ES13</f>
        <v>6.8279089006886959</v>
      </c>
      <c r="ET14" s="17">
        <f t="shared" ref="ET14" si="242">ET12+ET13</f>
        <v>0.13714662156270163</v>
      </c>
      <c r="EU14" s="12">
        <f t="shared" si="70"/>
        <v>945.8161382800472</v>
      </c>
      <c r="EV14" s="12">
        <f t="shared" si="41"/>
        <v>53.805375733363164</v>
      </c>
      <c r="EW14" s="12">
        <f t="shared" si="42"/>
        <v>21.284692364943254</v>
      </c>
      <c r="EX14" s="12">
        <f t="shared" si="10"/>
        <v>307.5457967100424</v>
      </c>
      <c r="EY14" s="12">
        <f t="shared" si="43"/>
        <v>206.76064698548862</v>
      </c>
      <c r="EZ14" s="16">
        <f t="shared" si="44"/>
        <v>0.32516446301002006</v>
      </c>
      <c r="FA14" s="16">
        <f t="shared" si="45"/>
        <v>0.21860553929802873</v>
      </c>
      <c r="FB14" s="12">
        <f t="shared" si="71"/>
        <v>189.55566544049901</v>
      </c>
    </row>
    <row r="15" spans="1:158" x14ac:dyDescent="0.15">
      <c r="A15" s="60" t="str">
        <f t="shared" ref="A15:A17" si="243">B15&amp;"_"&amp;IF(C15="男性",1,IF(C15="女性",2,IF(C15="合計",3)))</f>
        <v>2025_1</v>
      </c>
      <c r="B15" s="29">
        <v>2025</v>
      </c>
      <c r="C15" s="4" t="s">
        <v>21</v>
      </c>
      <c r="D15" s="4"/>
      <c r="E15" s="4"/>
      <c r="F15" s="4"/>
      <c r="G15" s="4"/>
      <c r="H15" s="4"/>
      <c r="I15" s="4"/>
      <c r="J15" s="4"/>
      <c r="K15" s="4"/>
      <c r="L15" s="4"/>
      <c r="M15" s="4"/>
      <c r="N15" s="4"/>
      <c r="O15" s="4"/>
      <c r="P15" s="4"/>
      <c r="Q15" s="4"/>
      <c r="R15" s="4"/>
      <c r="S15" s="4"/>
      <c r="T15" s="4"/>
      <c r="U15" s="4"/>
      <c r="V15" s="4"/>
      <c r="W15" s="4"/>
      <c r="X15" s="4"/>
      <c r="Y15" s="10">
        <f t="shared" ref="Y15:Y17" si="244">SUM(D15:X15)</f>
        <v>0</v>
      </c>
      <c r="Z15" s="10">
        <f t="shared" ref="Z15:Z17" si="245">E15*3/5+F15*3/5</f>
        <v>0</v>
      </c>
      <c r="AA15" s="10">
        <f t="shared" ref="AA15:AA17" si="246">F15*2/5+G15*1/5</f>
        <v>0</v>
      </c>
      <c r="AB15" s="10">
        <f t="shared" si="0"/>
        <v>0</v>
      </c>
      <c r="AC15" s="10">
        <f t="shared" ref="AC15:AC17" si="247">SUM(S15:X15)</f>
        <v>0</v>
      </c>
      <c r="AD15" s="14" t="e">
        <f t="shared" ref="AD15:AD17" si="248">AB15/Y15</f>
        <v>#DIV/0!</v>
      </c>
      <c r="AE15" s="14" t="e">
        <f t="shared" ref="AE15:AE17" si="249">AC15/Y15</f>
        <v>#DIV/0!</v>
      </c>
      <c r="AF15" s="10">
        <f t="shared" si="17"/>
        <v>0</v>
      </c>
      <c r="BH15" s="60" t="str">
        <f t="shared" si="19"/>
        <v>2045_1</v>
      </c>
      <c r="BI15" s="29">
        <f>管理者入力シート!B12</f>
        <v>2045</v>
      </c>
      <c r="BJ15" s="4" t="s">
        <v>21</v>
      </c>
      <c r="BK15" s="10">
        <f>CM16*$AK$13</f>
        <v>5.1324922989011972</v>
      </c>
      <c r="BL15" s="10">
        <f>IF(管理者入力シート!$B$14=1,BK12*管理者用人口入力シート!AM$3,IF(管理者入力シート!$B$14=2,BK12*管理者用人口入力シート!AM$7))</f>
        <v>5.3134336559514113</v>
      </c>
      <c r="BM15" s="10">
        <f>IF(管理者入力シート!$B$14=1,BL12*管理者用人口入力シート!AN$3,IF(管理者入力シート!$B$14=2,BL12*管理者用人口入力シート!AN$7))</f>
        <v>6.4884666256669536</v>
      </c>
      <c r="BN15" s="10">
        <f>IF(管理者入力シート!$B$14=1,BM12*管理者用人口入力シート!AO$3,IF(管理者入力シート!$B$14=2,BM12*管理者用人口入力シート!AO$7))</f>
        <v>5.6811197026116087</v>
      </c>
      <c r="BO15" s="10">
        <f>IF(管理者入力シート!$B$14=1,BN12*管理者用人口入力シート!AP$3,IF(管理者入力シート!$B$14=2,BN12*管理者用人口入力シート!AP$7))</f>
        <v>3.2041612284695113</v>
      </c>
      <c r="BP15" s="10">
        <f>IF(管理者入力シート!$B$14=1,BO12*管理者用人口入力シート!AQ$3,IF(管理者入力シート!$B$14=2,BO12*管理者用人口入力シート!AQ$7))</f>
        <v>3.571961779703718</v>
      </c>
      <c r="BQ15" s="10">
        <f>IF(管理者入力シート!$B$14=1,BP12*管理者用人口入力シート!AR$3,IF(管理者入力シート!$B$14=2,BP12*管理者用人口入力シート!AR$7))</f>
        <v>6.7004009522148245</v>
      </c>
      <c r="BR15" s="10">
        <f>IF(管理者入力シート!$B$14=1,BQ12*管理者用人口入力シート!AS$3,IF(管理者入力シート!$B$14=2,BQ12*管理者用人口入力シート!AS$7))</f>
        <v>7.2176168343015883</v>
      </c>
      <c r="BS15" s="10">
        <f>IF(管理者入力シート!$B$14=1,BR12*管理者用人口入力シート!AT$3,IF(管理者入力シート!$B$14=2,BR12*管理者用人口入力シート!AT$7))</f>
        <v>9.1379224701421577</v>
      </c>
      <c r="BT15" s="10">
        <f>IF(管理者入力シート!$B$14=1,BS12*管理者用人口入力シート!AU$3,IF(管理者入力シート!$B$14=2,BS12*管理者用人口入力シート!AU$7))</f>
        <v>8.6314215368219855</v>
      </c>
      <c r="BU15" s="10">
        <f>IF(管理者入力シート!$B$14=1,BT12*管理者用人口入力シート!AV$3,IF(管理者入力シート!$B$14=2,BT12*管理者用人口入力シート!AV$7))</f>
        <v>11.33118177528266</v>
      </c>
      <c r="BV15" s="10">
        <f>IF(管理者入力シート!$B$14=1,BU12*管理者用人口入力シート!AW$3,IF(管理者入力シート!$B$14=2,BU12*管理者用人口入力シート!AW$7))</f>
        <v>15.886379603660657</v>
      </c>
      <c r="BW15" s="10">
        <f>IF(管理者入力シート!$B$14=1,BV12*管理者用人口入力シート!AX$3,IF(管理者入力シート!$B$14=2,BV12*管理者用人口入力シート!AX$7))</f>
        <v>19.929988943418973</v>
      </c>
      <c r="BX15" s="10">
        <f>IF(管理者入力シート!$B$14=1,BW12*管理者用人口入力シート!AY$3,IF(管理者入力シート!$B$14=2,BW12*管理者用人口入力シート!AY$7))</f>
        <v>20.759582116096478</v>
      </c>
      <c r="BY15" s="10">
        <f>IF(管理者入力シート!$B$14=1,BX12*管理者用人口入力シート!AZ$3,IF(管理者入力シート!$B$14=2,BX12*管理者用人口入力シート!AZ$7))</f>
        <v>19.123897308288623</v>
      </c>
      <c r="BZ15" s="10">
        <f>IF(管理者入力シート!$B$14=1,BY12*管理者用人口入力シート!BA$3,IF(管理者入力シート!$B$14=2,BY12*管理者用人口入力シート!BA$7))</f>
        <v>22.398909533385631</v>
      </c>
      <c r="CA15" s="10">
        <f>IF(管理者入力シート!$B$14=1,BZ12*管理者用人口入力シート!BB$3,IF(管理者入力シート!$B$14=2,BZ12*管理者用人口入力シート!BB$7))</f>
        <v>18.715476674904632</v>
      </c>
      <c r="CB15" s="10">
        <f>IF(管理者入力シート!$B$14=1,CA12*管理者用人口入力シート!BC$3,IF(管理者入力シート!$B$14=2,CA12*管理者用人口入力シート!BC$7))</f>
        <v>18.170354781936886</v>
      </c>
      <c r="CC15" s="10">
        <f>IF(管理者入力シート!$B$14=1,CB12*管理者用人口入力シート!BD$3,IF(管理者入力シート!$B$14=2,CB12*管理者用人口入力シート!BD$7))</f>
        <v>9.2678737364367336</v>
      </c>
      <c r="CD15" s="10">
        <f>IF(管理者入力シート!$B$14=1,CC12*管理者用人口入力シート!BE$3,IF(管理者入力シート!$B$14=2,CC12*管理者用人口入力シート!BE$7))</f>
        <v>1.0008757226223597E-2</v>
      </c>
      <c r="CE15" s="10">
        <f>IF(管理者入力シート!$B$14=1,CD12*管理者用人口入力シート!BF$3,IF(管理者入力シート!$B$14=2,CD12*管理者用人口入力シート!BF$7))</f>
        <v>7.7117797534870068E-6</v>
      </c>
      <c r="CF15" s="10">
        <f t="shared" ref="CF15:CF20" si="250">SUM(BK15:CE15)</f>
        <v>216.6726580272022</v>
      </c>
      <c r="CG15" s="10">
        <f t="shared" ref="CG15:CG20" si="251">BL15*3/5+BM15*3/5</f>
        <v>7.0811401689710198</v>
      </c>
      <c r="CH15" s="10">
        <f t="shared" ref="CH15:CH20" si="252">BM15*2/5+BN15*1/5</f>
        <v>3.7316105907891028</v>
      </c>
      <c r="CI15" s="10">
        <f t="shared" ref="CI15:CI20" si="253">SUM(BX15:CE15)</f>
        <v>108.44611062005497</v>
      </c>
      <c r="CJ15" s="10">
        <f t="shared" ref="CJ15:CJ20" si="254">SUM(BZ15:CE15)</f>
        <v>68.562631195669852</v>
      </c>
      <c r="CK15" s="14">
        <f t="shared" ref="CK15:CK20" si="255">CI15/CF15</f>
        <v>0.50050667032681195</v>
      </c>
      <c r="CL15" s="14">
        <f t="shared" ref="CL15:CL20" si="256">CJ15/CF15</f>
        <v>0.31643416303621541</v>
      </c>
      <c r="CM15" s="10">
        <f t="shared" ref="CM15:CM20" si="257">SUM(BO15:BR15)</f>
        <v>20.694140794689641</v>
      </c>
      <c r="CO15" s="60" t="str">
        <f t="shared" si="26"/>
        <v>2045_1</v>
      </c>
      <c r="CP15" s="29">
        <f>管理者入力シート!B12</f>
        <v>2045</v>
      </c>
      <c r="CQ15" s="4" t="s">
        <v>21</v>
      </c>
      <c r="CR15" s="10">
        <f>DT16*$AK$13+将来予測シート②!$G17</f>
        <v>7.5601048972621285</v>
      </c>
      <c r="CS15" s="10">
        <f>IF(管理者入力シート!$B$14=1,CR12*管理者用人口入力シート!AM$3,IF(管理者入力シート!$B$14=2,CR12*管理者用人口入力シート!AM$7))+将来予測シート②!$G18</f>
        <v>7.4151974176484208</v>
      </c>
      <c r="CT15" s="10">
        <f>IF(管理者入力シート!$B$14=1,CS12*管理者用人口入力シート!AN$3,IF(管理者入力シート!$B$14=2,CS12*管理者用人口入力シート!AN$7))+将来予測シート②!$G19</f>
        <v>9.4942628323098646</v>
      </c>
      <c r="CU15" s="10">
        <f>IF(管理者入力シート!$B$14=1,CT12*管理者用人口入力シート!AO$3,IF(管理者入力シート!$B$14=2,CT12*管理者用人口入力シート!AO$7))+将来予測シート②!$G20</f>
        <v>7.7574421775286089</v>
      </c>
      <c r="CV15" s="10">
        <f>IF(管理者入力シート!$B$14=1,CU12*管理者用人口入力シート!AP$3,IF(管理者入力シート!$B$14=2,CU12*管理者用人口入力シート!AP$7))+将来予測シート②!$G21</f>
        <v>3.9806793874719117</v>
      </c>
      <c r="CW15" s="10">
        <f>IF(管理者入力シート!$B$14=1,CV12*管理者用人口入力シート!AQ$3,IF(管理者入力シート!$B$14=2,CV12*管理者用人口入力シート!AQ$7))+将来予測シート②!$G22</f>
        <v>5.9411511447063967</v>
      </c>
      <c r="CX15" s="10">
        <f>IF(管理者入力シート!$B$14=1,CW12*管理者用人口入力シート!AR$3,IF(管理者入力シート!$B$14=2,CW12*管理者用人口入力シート!AR$7))+将来予測シート②!$G23</f>
        <v>9.0081015844479779</v>
      </c>
      <c r="CY15" s="10">
        <f>IF(管理者入力シート!$B$14=1,CX12*管理者用人口入力シート!AS$3,IF(管理者入力シート!$B$14=2,CX12*管理者用人口入力シート!AS$7))+将来予測シート②!$G24</f>
        <v>9.222735246248071</v>
      </c>
      <c r="CZ15" s="10">
        <f>IF(管理者入力シート!$B$14=1,CY12*管理者用人口入力シート!AT$3,IF(管理者入力シート!$B$14=2,CY12*管理者用人口入力シート!AT$7))+将来予測シート②!$G25</f>
        <v>11.199622726051517</v>
      </c>
      <c r="DA15" s="10">
        <f>IF(管理者入力シート!$B$14=1,CZ12*管理者用人口入力シート!AU$3,IF(管理者入力シート!$B$14=2,CZ12*管理者用人口入力シート!AU$7))+将来予測シート②!$G26</f>
        <v>10.731061427111795</v>
      </c>
      <c r="DB15" s="10">
        <f>IF(管理者入力シート!$B$14=1,DA12*管理者用人口入力シート!AV$3,IF(管理者入力シート!$B$14=2,DA12*管理者用人口入力シート!AV$7))+将来予測シート②!$G27</f>
        <v>11.33118177528266</v>
      </c>
      <c r="DC15" s="10">
        <f>IF(管理者入力シート!$B$14=1,DB12*管理者用人口入力シート!AW$3,IF(管理者入力シート!$B$14=2,DB12*管理者用人口入力シート!AW$7))+将来予測シート②!$G28</f>
        <v>15.886379603660657</v>
      </c>
      <c r="DD15" s="10">
        <f>IF(管理者入力シート!$B$14=1,DC12*管理者用人口入力シート!AX$3,IF(管理者入力シート!$B$14=2,DC12*管理者用人口入力シート!AX$7))+将来予測シート②!$G29</f>
        <v>19.929988943418973</v>
      </c>
      <c r="DE15" s="10">
        <f>IF(管理者入力シート!$B$14=1,DD12*管理者用人口入力シート!AY$3,IF(管理者入力シート!$B$14=2,DD12*管理者用人口入力シート!AY$7))</f>
        <v>20.759582116096478</v>
      </c>
      <c r="DF15" s="10">
        <f>IF(管理者入力シート!$B$14=1,DE12*管理者用人口入力シート!AZ$3,IF(管理者入力シート!$B$14=2,DE12*管理者用人口入力シート!AZ$7))</f>
        <v>19.123897308288623</v>
      </c>
      <c r="DG15" s="10">
        <f>IF(管理者入力シート!$B$14=1,DF12*管理者用人口入力シート!BA$3,IF(管理者入力シート!$B$14=2,DF12*管理者用人口入力シート!BA$7))</f>
        <v>22.398909533385631</v>
      </c>
      <c r="DH15" s="10">
        <f>IF(管理者入力シート!$B$14=1,DG12*管理者用人口入力シート!BB$3,IF(管理者入力シート!$B$14=2,DG12*管理者用人口入力シート!BB$7))</f>
        <v>18.715476674904632</v>
      </c>
      <c r="DI15" s="10">
        <f>IF(管理者入力シート!$B$14=1,DH12*管理者用人口入力シート!BC$3,IF(管理者入力シート!$B$14=2,DH12*管理者用人口入力シート!BC$7))</f>
        <v>18.170354781936886</v>
      </c>
      <c r="DJ15" s="10">
        <f>IF(管理者入力シート!$B$14=1,DI12*管理者用人口入力シート!BD$3,IF(管理者入力シート!$B$14=2,DI12*管理者用人口入力シート!BD$7))</f>
        <v>9.2678737364367336</v>
      </c>
      <c r="DK15" s="10">
        <f>IF(管理者入力シート!$B$14=1,DJ12*管理者用人口入力シート!BE$3,IF(管理者入力シート!$B$14=2,DJ12*管理者用人口入力シート!BE$7))</f>
        <v>1.0008757226223597E-2</v>
      </c>
      <c r="DL15" s="10">
        <f>IF(管理者入力シート!$B$14=1,DK12*管理者用人口入力シート!BF$3,IF(管理者入力シート!$B$14=2,DK12*管理者用人口入力シート!BF$7))</f>
        <v>7.7117797534870068E-6</v>
      </c>
      <c r="DM15" s="10">
        <f t="shared" ref="DM15:DM20" si="258">SUM(CR15:DL15)</f>
        <v>237.90401978320392</v>
      </c>
      <c r="DN15" s="10">
        <f t="shared" ref="DN15:DN20" si="259">CS15*3/5+CT15*3/5</f>
        <v>10.145676149974971</v>
      </c>
      <c r="DO15" s="10">
        <f t="shared" ref="DO15:DO20" si="260">CT15*2/5+CU15*1/5</f>
        <v>5.3491935684296674</v>
      </c>
      <c r="DP15" s="10">
        <f t="shared" ref="DP15:DP20" si="261">SUM(DE15:DL15)</f>
        <v>108.44611062005497</v>
      </c>
      <c r="DQ15" s="10">
        <f t="shared" ref="DQ15:DQ20" si="262">SUM(DG15:DL15)</f>
        <v>68.562631195669852</v>
      </c>
      <c r="DR15" s="14">
        <f t="shared" ref="DR15:DR20" si="263">DP15/DM15</f>
        <v>0.45583975722175368</v>
      </c>
      <c r="DS15" s="14">
        <f t="shared" ref="DS15:DS20" si="264">DQ15/DM15</f>
        <v>0.28819450490222609</v>
      </c>
      <c r="DT15" s="10">
        <f t="shared" ref="DT15:DT20" si="265">SUM(CV15:CY15)</f>
        <v>28.152667362874357</v>
      </c>
      <c r="DV15" s="68" t="s">
        <v>404</v>
      </c>
      <c r="DW15" s="232">
        <f>AK13+AK14</f>
        <v>0.40826923491263223</v>
      </c>
    </row>
    <row r="16" spans="1:158" ht="12.95" customHeight="1" x14ac:dyDescent="0.15">
      <c r="A16" s="60" t="str">
        <f t="shared" si="243"/>
        <v>2025_2</v>
      </c>
      <c r="B16" s="30">
        <v>2025</v>
      </c>
      <c r="C16" s="5" t="s">
        <v>22</v>
      </c>
      <c r="D16" s="5"/>
      <c r="E16" s="5"/>
      <c r="F16" s="5"/>
      <c r="G16" s="5"/>
      <c r="H16" s="5"/>
      <c r="I16" s="5"/>
      <c r="J16" s="5"/>
      <c r="K16" s="5"/>
      <c r="L16" s="5"/>
      <c r="M16" s="5"/>
      <c r="N16" s="5"/>
      <c r="O16" s="5"/>
      <c r="P16" s="5"/>
      <c r="Q16" s="5"/>
      <c r="R16" s="5"/>
      <c r="S16" s="5"/>
      <c r="T16" s="5"/>
      <c r="U16" s="5"/>
      <c r="V16" s="5"/>
      <c r="W16" s="5"/>
      <c r="X16" s="5"/>
      <c r="Y16" s="11">
        <f t="shared" si="244"/>
        <v>0</v>
      </c>
      <c r="Z16" s="11">
        <f t="shared" si="245"/>
        <v>0</v>
      </c>
      <c r="AA16" s="11">
        <f t="shared" si="246"/>
        <v>0</v>
      </c>
      <c r="AB16" s="11">
        <f t="shared" si="0"/>
        <v>0</v>
      </c>
      <c r="AC16" s="11">
        <f t="shared" si="247"/>
        <v>0</v>
      </c>
      <c r="AD16" s="15" t="e">
        <f t="shared" si="248"/>
        <v>#DIV/0!</v>
      </c>
      <c r="AE16" s="15" t="e">
        <f t="shared" si="249"/>
        <v>#DIV/0!</v>
      </c>
      <c r="AF16" s="11">
        <f t="shared" si="17"/>
        <v>0</v>
      </c>
      <c r="BH16" s="60" t="str">
        <f t="shared" si="19"/>
        <v>2045_2</v>
      </c>
      <c r="BI16" s="30">
        <f>BI15</f>
        <v>2045</v>
      </c>
      <c r="BJ16" s="5" t="s">
        <v>22</v>
      </c>
      <c r="BK16" s="11">
        <f>CM16*$AK$14</f>
        <v>6.3093425919080719</v>
      </c>
      <c r="BL16" s="11">
        <f>IF(管理者入力シート!$B$14=1,BK13*管理者用人口入力シート!AM$4,IF(管理者入力シート!$B$14=2,BK13*管理者用人口入力シート!AM$8))</f>
        <v>8.0157541022806704</v>
      </c>
      <c r="BM16" s="11">
        <f>IF(管理者入力シート!$B$14=1,BL13*管理者用人口入力シート!AN$4,IF(管理者入力シート!$B$14=2,BL13*管理者用人口入力シート!AN$8))</f>
        <v>11.323558123686899</v>
      </c>
      <c r="BN16" s="11">
        <f>IF(管理者入力シート!$B$14=1,BM13*管理者用人口入力シート!AO$4,IF(管理者入力シート!$B$14=2,BM13*管理者用人口入力シート!AO$8))</f>
        <v>9.1665254367252533</v>
      </c>
      <c r="BO16" s="11">
        <f>IF(管理者入力シート!$B$14=1,BN13*管理者用人口入力シート!AP$4,IF(管理者入力シート!$B$14=2,BN13*管理者用人口入力シート!AP$8))</f>
        <v>6.1828916276501014</v>
      </c>
      <c r="BP16" s="11">
        <f>IF(管理者入力シート!$B$14=1,BO13*管理者用人口入力シート!AQ$4,IF(管理者入力シート!$B$14=2,BO13*管理者用人口入力シート!AQ$8))</f>
        <v>6.6262378064516989</v>
      </c>
      <c r="BQ16" s="11">
        <f>IF(管理者入力シート!$B$14=1,BP13*管理者用人口入力シート!AR$4,IF(管理者入力シート!$B$14=2,BP13*管理者用人口入力シート!AR$8))</f>
        <v>7.525628126394448</v>
      </c>
      <c r="BR16" s="11">
        <f>IF(管理者入力シート!$B$14=1,BQ13*管理者用人口入力シート!AS$4,IF(管理者入力シート!$B$14=2,BQ13*管理者用人口入力シート!AS$8))</f>
        <v>7.6904618593744889</v>
      </c>
      <c r="BS16" s="11">
        <f>IF(管理者入力シート!$B$14=1,BR13*管理者用人口入力シート!AT$4,IF(管理者入力シート!$B$14=2,BR13*管理者用人口入力シート!AT$8))</f>
        <v>8.4842738331631118</v>
      </c>
      <c r="BT16" s="11">
        <f>IF(管理者入力シート!$B$14=1,BS13*管理者用人口入力シート!AU$4,IF(管理者入力シート!$B$14=2,BS13*管理者用人口入力シート!AU$8))</f>
        <v>15.299551296199335</v>
      </c>
      <c r="BU16" s="11">
        <f>IF(管理者入力シート!$B$14=1,BT13*管理者用人口入力シート!AV$4,IF(管理者入力シート!$B$14=2,BT13*管理者用人口入力シート!AV$8))</f>
        <v>11.868233637038387</v>
      </c>
      <c r="BV16" s="11">
        <f>IF(管理者入力シート!$B$14=1,BU13*管理者用人口入力シート!AW$4,IF(管理者入力シート!$B$14=2,BU13*管理者用人口入力シート!AW$8))</f>
        <v>13.561071819488804</v>
      </c>
      <c r="BW16" s="11">
        <f>IF(管理者入力シート!$B$14=1,BV13*管理者用人口入力シート!AX$4,IF(管理者入力シート!$B$14=2,BV13*管理者用人口入力シート!AX$8))</f>
        <v>19.070730395797611</v>
      </c>
      <c r="BX16" s="11">
        <f>IF(管理者入力シート!$B$14=1,BW13*管理者用人口入力シート!AY$4,IF(管理者入力シート!$B$14=2,BW13*管理者用人口入力シート!AY$8))</f>
        <v>25.603219335055847</v>
      </c>
      <c r="BY16" s="11">
        <f>IF(管理者入力シート!$B$14=1,BX13*管理者用人口入力シート!AZ$4,IF(管理者入力シート!$B$14=2,BX13*管理者用人口入力シート!AZ$8))</f>
        <v>29.629282656047213</v>
      </c>
      <c r="BZ16" s="11">
        <f>IF(管理者入力シート!$B$14=1,BY13*管理者用人口入力シート!BA$4,IF(管理者入力シート!$B$14=2,BY13*管理者用人口入力シート!BA$8))</f>
        <v>24.43223024388433</v>
      </c>
      <c r="CA16" s="11">
        <f>IF(管理者入力シート!$B$14=1,BZ13*管理者用人口入力シート!BB$4,IF(管理者入力シート!$B$14=2,BZ13*管理者用人口入力シート!BB$8))</f>
        <v>28.656807983491628</v>
      </c>
      <c r="CB16" s="11">
        <f>IF(管理者入力シート!$B$14=1,CA13*管理者用人口入力シート!BC$4,IF(管理者入力シート!$B$14=2,CA13*管理者用人口入力シート!BC$8))</f>
        <v>28.185515763812866</v>
      </c>
      <c r="CC16" s="11">
        <f>IF(管理者入力シート!$B$14=1,CB13*管理者用人口入力シート!BD$4,IF(管理者入力シート!$B$14=2,CB13*管理者用人口入力シート!BD$8))</f>
        <v>22.508049807100576</v>
      </c>
      <c r="CD16" s="11">
        <f>IF(管理者入力シート!$B$14=1,CC13*管理者用人口入力シート!BE$4,IF(管理者入力シート!$B$14=2,CC13*管理者用人口入力シート!BE$8))</f>
        <v>6.6098648767102643</v>
      </c>
      <c r="CE16" s="11">
        <f>IF(管理者入力シート!$B$14=1,CD13*管理者用人口入力シート!BF$4,IF(管理者入力シート!$B$14=2,CD13*管理者用人口入力シート!BF$8))</f>
        <v>0.14799435694382643</v>
      </c>
      <c r="CF16" s="11">
        <f t="shared" si="250"/>
        <v>296.89722567920546</v>
      </c>
      <c r="CG16" s="11">
        <f t="shared" si="251"/>
        <v>11.603587335580542</v>
      </c>
      <c r="CH16" s="11">
        <f t="shared" si="252"/>
        <v>6.36272833681981</v>
      </c>
      <c r="CI16" s="11">
        <f t="shared" si="253"/>
        <v>165.77296502304657</v>
      </c>
      <c r="CJ16" s="11">
        <f t="shared" si="254"/>
        <v>110.54046303194349</v>
      </c>
      <c r="CK16" s="15">
        <f t="shared" si="255"/>
        <v>0.55835134411852883</v>
      </c>
      <c r="CL16" s="15">
        <f t="shared" si="256"/>
        <v>0.37231894902036361</v>
      </c>
      <c r="CM16" s="11">
        <f t="shared" si="257"/>
        <v>28.025219419870737</v>
      </c>
      <c r="CO16" s="60" t="str">
        <f t="shared" si="26"/>
        <v>2045_2</v>
      </c>
      <c r="CP16" s="30">
        <f>CP15</f>
        <v>2045</v>
      </c>
      <c r="CQ16" s="5" t="s">
        <v>22</v>
      </c>
      <c r="CR16" s="11">
        <f>DT16*$AK$14+将来予測シート②!$H17</f>
        <v>9.0642983613519981</v>
      </c>
      <c r="CS16" s="11">
        <f>IF(管理者入力シート!$B$14=1,CR13*管理者用人口入力シート!AM$4,IF(管理者入力シート!$B$14=2,CR13*管理者用人口入力シート!AM$8))+将来予測シート②!$H18</f>
        <v>10.923433290752657</v>
      </c>
      <c r="CT16" s="11">
        <f>IF(管理者入力シート!$B$14=1,CS13*管理者用人口入力シート!AN$4,IF(管理者入力シート!$B$14=2,CS13*管理者用人口入力シート!AN$8))+将来予測シート②!$H19</f>
        <v>15.524090267268042</v>
      </c>
      <c r="CU16" s="11">
        <f>IF(管理者入力シート!$B$14=1,CT13*管理者用人口入力シート!AO$4,IF(管理者入力シート!$B$14=2,CT13*管理者用人口入力シート!AO$8))+将来予測シート②!$H20</f>
        <v>11.74400706963616</v>
      </c>
      <c r="CV16" s="11">
        <f>IF(管理者入力シート!$B$14=1,CU13*管理者用人口入力シート!AP$4,IF(管理者入力シート!$B$14=2,CU13*管理者用人口入力シート!AP$8))+将来予測シート②!$H21</f>
        <v>7.2142801023739374</v>
      </c>
      <c r="CW16" s="11">
        <f>IF(管理者入力シート!$B$14=1,CV13*管理者用人口入力シート!AQ$4,IF(管理者入力シート!$B$14=2,CV13*管理者用人口入力シート!AQ$8))+将来予測シート②!$H22</f>
        <v>9.0186735515799832</v>
      </c>
      <c r="CX16" s="11">
        <f>IF(管理者入力シート!$B$14=1,CW13*管理者用人口入力シート!AR$4,IF(管理者入力シート!$B$14=2,CW13*管理者用人口入力シート!AR$8))+将来予測シート②!$H23</f>
        <v>9.9187674256461982</v>
      </c>
      <c r="CY16" s="11">
        <f>IF(管理者入力シート!$B$14=1,CX13*管理者用人口入力シート!AS$4,IF(管理者入力シート!$B$14=2,CX13*管理者用人口入力シート!AS$8))+将来予測シート②!$H24</f>
        <v>9.6687669905913101</v>
      </c>
      <c r="CZ16" s="11">
        <f>IF(管理者入力シート!$B$14=1,CY13*管理者用人口入力シート!AT$4,IF(管理者入力シート!$B$14=2,CY13*管理者用人口入力シート!AT$8))+将来予測シート②!$H25</f>
        <v>11.532248424185138</v>
      </c>
      <c r="DA16" s="11">
        <f>IF(管理者入力シート!$B$14=1,CZ13*管理者用人口入力シート!AU$4,IF(管理者入力シート!$B$14=2,CZ13*管理者用人口入力シート!AU$8))+将来予測シート②!$H26</f>
        <v>18.558931412743593</v>
      </c>
      <c r="DB16" s="11">
        <f>IF(管理者入力シート!$B$14=1,DA13*管理者用人口入力シート!AV$4,IF(管理者入力シート!$B$14=2,DA13*管理者用人口入力シート!AV$8))+将来予測シート②!$H27</f>
        <v>12.91178336154022</v>
      </c>
      <c r="DC16" s="11">
        <f>IF(管理者入力シート!$B$14=1,DB13*管理者用人口入力シート!AW$4,IF(管理者入力シート!$B$14=2,DB13*管理者用人口入力シート!AW$8))+将来予測シート②!$H28</f>
        <v>14.611826193007916</v>
      </c>
      <c r="DD16" s="11">
        <f>IF(管理者入力シート!$B$14=1,DC13*管理者用人口入力シート!AX$4,IF(管理者入力シート!$B$14=2,DC13*管理者用人口入力シート!AX$8))+将来予測シート②!$H29</f>
        <v>20.110907718429331</v>
      </c>
      <c r="DE16" s="11">
        <f>IF(管理者入力シート!$B$14=1,DD13*管理者用人口入力シート!AY$4,IF(管理者入力シート!$B$14=2,DD13*管理者用人口入力シート!AY$8))</f>
        <v>25.603219335055847</v>
      </c>
      <c r="DF16" s="11">
        <f>IF(管理者入力シート!$B$14=1,DE13*管理者用人口入力シート!AZ$4,IF(管理者入力シート!$B$14=2,DE13*管理者用人口入力シート!AZ$8))</f>
        <v>29.629282656047213</v>
      </c>
      <c r="DG16" s="11">
        <f>IF(管理者入力シート!$B$14=1,DF13*管理者用人口入力シート!BA$4,IF(管理者入力シート!$B$14=2,DF13*管理者用人口入力シート!BA$8))</f>
        <v>24.43223024388433</v>
      </c>
      <c r="DH16" s="11">
        <f>IF(管理者入力シート!$B$14=1,DG13*管理者用人口入力シート!BB$4,IF(管理者入力シート!$B$14=2,DG13*管理者用人口入力シート!BB$8))</f>
        <v>28.656807983491628</v>
      </c>
      <c r="DI16" s="11">
        <f>IF(管理者入力シート!$B$14=1,DH13*管理者用人口入力シート!BC$4,IF(管理者入力シート!$B$14=2,DH13*管理者用人口入力シート!BC$8))</f>
        <v>28.185515763812866</v>
      </c>
      <c r="DJ16" s="11">
        <f>IF(管理者入力シート!$B$14=1,DI13*管理者用人口入力シート!BD$4,IF(管理者入力シート!$B$14=2,DI13*管理者用人口入力シート!BD$8))</f>
        <v>22.508049807100576</v>
      </c>
      <c r="DK16" s="11">
        <f>IF(管理者入力シート!$B$14=1,DJ13*管理者用人口入力シート!BE$4,IF(管理者入力シート!$B$14=2,DJ13*管理者用人口入力シート!BE$8))</f>
        <v>6.6098648767102643</v>
      </c>
      <c r="DL16" s="11">
        <f>IF(管理者入力シート!$B$14=1,DK13*管理者用人口入力シート!BF$4,IF(管理者入力シート!$B$14=2,DK13*管理者用人口入力シート!BF$8))</f>
        <v>0.14799435694382643</v>
      </c>
      <c r="DM16" s="11">
        <f t="shared" si="258"/>
        <v>326.57497919215308</v>
      </c>
      <c r="DN16" s="11">
        <f t="shared" si="259"/>
        <v>15.868514134812418</v>
      </c>
      <c r="DO16" s="11">
        <f t="shared" si="260"/>
        <v>8.558437520834449</v>
      </c>
      <c r="DP16" s="11">
        <f t="shared" si="261"/>
        <v>165.77296502304657</v>
      </c>
      <c r="DQ16" s="11">
        <f t="shared" si="262"/>
        <v>110.54046303194349</v>
      </c>
      <c r="DR16" s="15">
        <f t="shared" si="263"/>
        <v>0.50761073439587545</v>
      </c>
      <c r="DS16" s="15">
        <f t="shared" si="264"/>
        <v>0.3384841769121042</v>
      </c>
      <c r="DT16" s="11">
        <f t="shared" si="265"/>
        <v>35.820488070191431</v>
      </c>
      <c r="DV16" s="233" t="s">
        <v>406</v>
      </c>
      <c r="DW16" s="60">
        <f>IF(DW10&lt;0,ABS(DW10)/DW15,0)</f>
        <v>21.417208743228418</v>
      </c>
    </row>
    <row r="17" spans="1:158" ht="12.95" customHeight="1" x14ac:dyDescent="0.15">
      <c r="A17" s="60" t="str">
        <f t="shared" si="243"/>
        <v>2025_3</v>
      </c>
      <c r="B17" s="31">
        <v>2025</v>
      </c>
      <c r="C17" s="6" t="s">
        <v>23</v>
      </c>
      <c r="D17" s="6"/>
      <c r="E17" s="6"/>
      <c r="F17" s="6"/>
      <c r="G17" s="6"/>
      <c r="H17" s="6"/>
      <c r="I17" s="6"/>
      <c r="J17" s="6"/>
      <c r="K17" s="6"/>
      <c r="L17" s="6"/>
      <c r="M17" s="6"/>
      <c r="N17" s="6"/>
      <c r="O17" s="6"/>
      <c r="P17" s="6"/>
      <c r="Q17" s="6"/>
      <c r="R17" s="6"/>
      <c r="S17" s="6"/>
      <c r="T17" s="6"/>
      <c r="U17" s="6"/>
      <c r="V17" s="6"/>
      <c r="W17" s="6"/>
      <c r="X17" s="6"/>
      <c r="Y17" s="12">
        <f t="shared" si="244"/>
        <v>0</v>
      </c>
      <c r="Z17" s="12">
        <f t="shared" si="245"/>
        <v>0</v>
      </c>
      <c r="AA17" s="12">
        <f t="shared" si="246"/>
        <v>0</v>
      </c>
      <c r="AB17" s="12">
        <f t="shared" si="0"/>
        <v>0</v>
      </c>
      <c r="AC17" s="12">
        <f t="shared" si="247"/>
        <v>0</v>
      </c>
      <c r="AD17" s="16" t="e">
        <f t="shared" si="248"/>
        <v>#DIV/0!</v>
      </c>
      <c r="AE17" s="16" t="e">
        <f t="shared" si="249"/>
        <v>#DIV/0!</v>
      </c>
      <c r="AF17" s="12">
        <f t="shared" si="17"/>
        <v>0</v>
      </c>
      <c r="BH17" s="60" t="str">
        <f t="shared" si="19"/>
        <v>2045_3</v>
      </c>
      <c r="BI17" s="31">
        <f>BI16</f>
        <v>2045</v>
      </c>
      <c r="BJ17" s="6" t="s">
        <v>23</v>
      </c>
      <c r="BK17" s="17">
        <f>BK15+BK16</f>
        <v>11.441834890809268</v>
      </c>
      <c r="BL17" s="17">
        <f t="shared" ref="BL17:CE17" si="266">BL15+BL16</f>
        <v>13.329187758232081</v>
      </c>
      <c r="BM17" s="17">
        <f t="shared" si="266"/>
        <v>17.812024749353853</v>
      </c>
      <c r="BN17" s="17">
        <f t="shared" si="266"/>
        <v>14.847645139336862</v>
      </c>
      <c r="BO17" s="17">
        <f t="shared" si="266"/>
        <v>9.3870528561196132</v>
      </c>
      <c r="BP17" s="17">
        <f t="shared" si="266"/>
        <v>10.198199586155416</v>
      </c>
      <c r="BQ17" s="17">
        <f t="shared" si="266"/>
        <v>14.226029078609272</v>
      </c>
      <c r="BR17" s="17">
        <f t="shared" si="266"/>
        <v>14.908078693676078</v>
      </c>
      <c r="BS17" s="17">
        <f t="shared" si="266"/>
        <v>17.62219630330527</v>
      </c>
      <c r="BT17" s="17">
        <f t="shared" si="266"/>
        <v>23.930972833021322</v>
      </c>
      <c r="BU17" s="17">
        <f t="shared" si="266"/>
        <v>23.199415412321045</v>
      </c>
      <c r="BV17" s="17">
        <f t="shared" si="266"/>
        <v>29.44745142314946</v>
      </c>
      <c r="BW17" s="17">
        <f t="shared" si="266"/>
        <v>39.000719339216587</v>
      </c>
      <c r="BX17" s="17">
        <f t="shared" si="266"/>
        <v>46.362801451152322</v>
      </c>
      <c r="BY17" s="17">
        <f t="shared" si="266"/>
        <v>48.753179964335835</v>
      </c>
      <c r="BZ17" s="17">
        <f t="shared" si="266"/>
        <v>46.831139777269961</v>
      </c>
      <c r="CA17" s="17">
        <f t="shared" si="266"/>
        <v>47.372284658396261</v>
      </c>
      <c r="CB17" s="17">
        <f t="shared" si="266"/>
        <v>46.355870545749752</v>
      </c>
      <c r="CC17" s="17">
        <f t="shared" si="266"/>
        <v>31.77592354353731</v>
      </c>
      <c r="CD17" s="17">
        <f t="shared" si="266"/>
        <v>6.6198736339364883</v>
      </c>
      <c r="CE17" s="17">
        <f t="shared" si="266"/>
        <v>0.1480020687235799</v>
      </c>
      <c r="CF17" s="12">
        <f t="shared" si="250"/>
        <v>513.56988370640772</v>
      </c>
      <c r="CG17" s="12">
        <f t="shared" si="251"/>
        <v>18.68472750455156</v>
      </c>
      <c r="CH17" s="12">
        <f t="shared" si="252"/>
        <v>10.094338927608913</v>
      </c>
      <c r="CI17" s="12">
        <f t="shared" si="253"/>
        <v>274.21907564310152</v>
      </c>
      <c r="CJ17" s="12">
        <f t="shared" si="254"/>
        <v>179.10309422761335</v>
      </c>
      <c r="CK17" s="16">
        <f t="shared" si="255"/>
        <v>0.53394695511363788</v>
      </c>
      <c r="CL17" s="16">
        <f t="shared" si="256"/>
        <v>0.34874142723291218</v>
      </c>
      <c r="CM17" s="12">
        <f t="shared" si="257"/>
        <v>48.719360214560382</v>
      </c>
      <c r="CO17" s="60" t="str">
        <f t="shared" si="26"/>
        <v>2045_3</v>
      </c>
      <c r="CP17" s="31">
        <f>CP16</f>
        <v>2045</v>
      </c>
      <c r="CQ17" s="6" t="s">
        <v>23</v>
      </c>
      <c r="CR17" s="17">
        <f>CR15+CR16</f>
        <v>16.624403258614127</v>
      </c>
      <c r="CS17" s="17">
        <f>CS15+CS16</f>
        <v>18.338630708401077</v>
      </c>
      <c r="CT17" s="17">
        <f t="shared" ref="CT17:DL17" si="267">CT15+CT16</f>
        <v>25.018353099577908</v>
      </c>
      <c r="CU17" s="17">
        <f t="shared" si="267"/>
        <v>19.501449247164768</v>
      </c>
      <c r="CV17" s="17">
        <f t="shared" si="267"/>
        <v>11.19495948984585</v>
      </c>
      <c r="CW17" s="17">
        <f t="shared" si="267"/>
        <v>14.959824696286379</v>
      </c>
      <c r="CX17" s="17">
        <f t="shared" si="267"/>
        <v>18.926869010094176</v>
      </c>
      <c r="CY17" s="17">
        <f t="shared" si="267"/>
        <v>18.891502236839379</v>
      </c>
      <c r="CZ17" s="17">
        <f t="shared" si="267"/>
        <v>22.731871150236657</v>
      </c>
      <c r="DA17" s="17">
        <f t="shared" si="267"/>
        <v>29.289992839855387</v>
      </c>
      <c r="DB17" s="17">
        <f t="shared" si="267"/>
        <v>24.242965136822882</v>
      </c>
      <c r="DC17" s="17">
        <f t="shared" si="267"/>
        <v>30.498205796668572</v>
      </c>
      <c r="DD17" s="17">
        <f t="shared" si="267"/>
        <v>40.040896661848308</v>
      </c>
      <c r="DE17" s="17">
        <f t="shared" si="267"/>
        <v>46.362801451152322</v>
      </c>
      <c r="DF17" s="17">
        <f t="shared" si="267"/>
        <v>48.753179964335835</v>
      </c>
      <c r="DG17" s="17">
        <f t="shared" si="267"/>
        <v>46.831139777269961</v>
      </c>
      <c r="DH17" s="17">
        <f t="shared" si="267"/>
        <v>47.372284658396261</v>
      </c>
      <c r="DI17" s="17">
        <f t="shared" si="267"/>
        <v>46.355870545749752</v>
      </c>
      <c r="DJ17" s="17">
        <f t="shared" si="267"/>
        <v>31.77592354353731</v>
      </c>
      <c r="DK17" s="17">
        <f t="shared" si="267"/>
        <v>6.6198736339364883</v>
      </c>
      <c r="DL17" s="17">
        <f t="shared" si="267"/>
        <v>0.1480020687235799</v>
      </c>
      <c r="DM17" s="12">
        <f t="shared" si="258"/>
        <v>564.47899897535694</v>
      </c>
      <c r="DN17" s="12">
        <f t="shared" si="259"/>
        <v>26.014190284787389</v>
      </c>
      <c r="DO17" s="12">
        <f t="shared" si="260"/>
        <v>13.907631089264116</v>
      </c>
      <c r="DP17" s="12">
        <f t="shared" si="261"/>
        <v>274.21907564310152</v>
      </c>
      <c r="DQ17" s="12">
        <f t="shared" si="262"/>
        <v>179.10309422761335</v>
      </c>
      <c r="DR17" s="16">
        <f t="shared" si="263"/>
        <v>0.48579145750482189</v>
      </c>
      <c r="DS17" s="16">
        <f t="shared" si="264"/>
        <v>0.31728920748641054</v>
      </c>
      <c r="DT17" s="12">
        <f t="shared" si="265"/>
        <v>63.973155433065784</v>
      </c>
      <c r="DV17" s="68" t="s">
        <v>407</v>
      </c>
      <c r="DW17" s="60">
        <f>IF(DW9&gt;=0,0,IF(AND(DW10&lt;=0,DW9&lt;=0,DW16*2&gt;=ABS(DW9)),ROUND(DW16/3,0),ROUND(ABS(DW9)/6,0)))</f>
        <v>11</v>
      </c>
      <c r="DX17" s="2" t="s">
        <v>360</v>
      </c>
    </row>
    <row r="18" spans="1:158" x14ac:dyDescent="0.15">
      <c r="A18" s="60" t="str">
        <f t="shared" ref="A18:A20" si="268">B18&amp;"_"&amp;IF(C18="男性",1,IF(C18="女性",2,IF(C18="合計",3)))</f>
        <v>2030_1</v>
      </c>
      <c r="B18" s="29">
        <v>2030</v>
      </c>
      <c r="C18" s="4" t="s">
        <v>21</v>
      </c>
      <c r="D18" s="4"/>
      <c r="E18" s="4"/>
      <c r="F18" s="4"/>
      <c r="G18" s="4"/>
      <c r="H18" s="4"/>
      <c r="I18" s="4"/>
      <c r="J18" s="4"/>
      <c r="K18" s="4"/>
      <c r="L18" s="4"/>
      <c r="M18" s="4"/>
      <c r="N18" s="4"/>
      <c r="O18" s="4"/>
      <c r="P18" s="4"/>
      <c r="Q18" s="4"/>
      <c r="R18" s="4"/>
      <c r="S18" s="4"/>
      <c r="T18" s="4"/>
      <c r="U18" s="4"/>
      <c r="V18" s="4"/>
      <c r="W18" s="4"/>
      <c r="X18" s="4"/>
      <c r="Y18" s="10">
        <f>SUM(D18:X18)</f>
        <v>0</v>
      </c>
      <c r="Z18" s="10">
        <f t="shared" ref="Z18:Z20" si="269">E18*3/5+F18*3/5</f>
        <v>0</v>
      </c>
      <c r="AA18" s="10">
        <f t="shared" ref="AA18:AA20" si="270">F18*2/5+G18*1/5</f>
        <v>0</v>
      </c>
      <c r="AB18" s="10">
        <f t="shared" si="0"/>
        <v>0</v>
      </c>
      <c r="AC18" s="10">
        <f t="shared" ref="AC18:AC20" si="271">SUM(S18:X18)</f>
        <v>0</v>
      </c>
      <c r="AD18" s="14" t="e">
        <f t="shared" ref="AD18:AD20" si="272">AB18/Y18</f>
        <v>#DIV/0!</v>
      </c>
      <c r="AE18" s="14" t="e">
        <f t="shared" ref="AE18:AE20" si="273">AC18/Y18</f>
        <v>#DIV/0!</v>
      </c>
      <c r="AF18" s="10">
        <f t="shared" si="17"/>
        <v>0</v>
      </c>
      <c r="BH18" s="60" t="str">
        <f t="shared" si="19"/>
        <v>2050_1</v>
      </c>
      <c r="BI18" s="29">
        <f>管理者入力シート!B13</f>
        <v>2050</v>
      </c>
      <c r="BJ18" s="4" t="s">
        <v>21</v>
      </c>
      <c r="BK18" s="10">
        <f>CM19*$AK$13</f>
        <v>4.5858456229969127</v>
      </c>
      <c r="BL18" s="10">
        <f>IF(管理者入力シート!$B$14=1,BK15*管理者用人口入力シート!AM$3,IF(管理者入力シート!$B$14=2,BK15*管理者用人口入力シート!AM$7))</f>
        <v>4.7971855589377821</v>
      </c>
      <c r="BM18" s="10">
        <f>IF(管理者入力シート!$B$14=1,BL15*管理者用人口入力シート!AN$3,IF(管理者入力シート!$B$14=2,BL15*管理者用人口入力シート!AN$7))</f>
        <v>5.2382397656502784</v>
      </c>
      <c r="BN18" s="10">
        <f>IF(管理者入力シート!$B$14=1,BM15*管理者用人口入力シート!AO$3,IF(管理者入力シート!$B$14=2,BM15*管理者用人口入力シート!AO$7))</f>
        <v>5.1884847678480597</v>
      </c>
      <c r="BO18" s="10">
        <f>IF(管理者入力シート!$B$14=1,BN15*管理者用人口入力シート!AP$3,IF(管理者入力シート!$B$14=2,BN15*管理者用人口入力シート!AP$7))</f>
        <v>2.8711749295219411</v>
      </c>
      <c r="BP18" s="10">
        <f>IF(管理者入力シート!$B$14=1,BO15*管理者用人口入力シート!AQ$3,IF(管理者入力シート!$B$14=2,BO15*管理者用人口入力シート!AQ$7))</f>
        <v>2.9271121271545897</v>
      </c>
      <c r="BQ18" s="10">
        <f>IF(管理者入力シート!$B$14=1,BP15*管理者用人口入力シート!AR$3,IF(管理者入力シート!$B$14=2,BP15*管理者用人口入力シート!AR$7))</f>
        <v>3.4792569049564381</v>
      </c>
      <c r="BR18" s="10">
        <f>IF(管理者入力シート!$B$14=1,BQ15*管理者用人口入力シート!AS$3,IF(管理者入力シート!$B$14=2,BQ15*管理者用人口入力シート!AS$7))</f>
        <v>6.8965378862254312</v>
      </c>
      <c r="BS18" s="10">
        <f>IF(管理者入力シート!$B$14=1,BR15*管理者用人口入力シート!AT$3,IF(管理者入力シート!$B$14=2,BR15*管理者用人口入力シート!AT$7))</f>
        <v>7.4212886309741011</v>
      </c>
      <c r="BT18" s="10">
        <f>IF(管理者入力シート!$B$14=1,BS15*管理者用人口入力シート!AU$3,IF(管理者入力シート!$B$14=2,BS15*管理者用人口入力シート!AU$7))</f>
        <v>9.3060795223229373</v>
      </c>
      <c r="BU18" s="10">
        <f>IF(管理者入力シート!$B$14=1,BT15*管理者用人口入力シート!AV$3,IF(管理者入力シート!$B$14=2,BT15*管理者用人口入力シート!AV$7))</f>
        <v>8.6261887860913742</v>
      </c>
      <c r="BV18" s="10">
        <f>IF(管理者入力シート!$B$14=1,BU15*管理者用人口入力シート!AW$3,IF(管理者入力シート!$B$14=2,BU15*管理者用人口入力シート!AW$7))</f>
        <v>11.141332277489742</v>
      </c>
      <c r="BW18" s="10">
        <f>IF(管理者入力シート!$B$14=1,BV15*管理者用人口入力シート!AX$3,IF(管理者入力シート!$B$14=2,BV15*管理者用人口入力シート!AX$7))</f>
        <v>15.308498433062013</v>
      </c>
      <c r="BX18" s="10">
        <f>IF(管理者入力シート!$B$14=1,BW15*管理者用人口入力シート!AY$3,IF(管理者入力シート!$B$14=2,BW15*管理者用人口入力シート!AY$7))</f>
        <v>18.817647002290297</v>
      </c>
      <c r="BY18" s="10">
        <f>IF(管理者入力シート!$B$14=1,BX15*管理者用人口入力シート!AZ$3,IF(管理者入力シート!$B$14=2,BX15*管理者用人口入力シート!AZ$7))</f>
        <v>19.222884672342644</v>
      </c>
      <c r="BZ18" s="10">
        <f>IF(管理者入力シート!$B$14=1,BY15*管理者用人口入力シート!BA$3,IF(管理者入力シート!$B$14=2,BY15*管理者用人口入力シート!BA$7))</f>
        <v>17.954900361264894</v>
      </c>
      <c r="CA18" s="10">
        <f>IF(管理者入力シート!$B$14=1,BZ15*管理者用人口入力シート!BB$3,IF(管理者入力シート!$B$14=2,BZ15*管理者用人口入力シート!BB$7))</f>
        <v>17.490920761567658</v>
      </c>
      <c r="CB18" s="10">
        <f>IF(管理者入力シート!$B$14=1,CA15*管理者用人口入力シート!BC$3,IF(管理者入力シート!$B$14=2,CA15*管理者用人口入力シート!BC$7))</f>
        <v>13.603450696256495</v>
      </c>
      <c r="CC18" s="10">
        <f>IF(管理者入力シート!$B$14=1,CB15*管理者用人口入力シート!BD$3,IF(管理者入力シート!$B$14=2,CB15*管理者用人口入力シート!BD$7))</f>
        <v>8.0679390327732641</v>
      </c>
      <c r="CD18" s="10">
        <f>IF(管理者入力シート!$B$14=1,CC15*管理者用人口入力シート!BE$3,IF(管理者入力シート!$B$14=2,CC15*管理者用人口入力シート!BE$7))</f>
        <v>9.2678737364367339E-3</v>
      </c>
      <c r="CE18" s="10">
        <f>IF(管理者入力シート!$B$14=1,CD15*管理者用人口入力シート!BF$3,IF(管理者入力シート!$B$14=2,CD15*管理者用人口入力シート!BF$7))</f>
        <v>1.0008757226223597E-5</v>
      </c>
      <c r="CF18" s="10">
        <f t="shared" si="250"/>
        <v>182.9542456222205</v>
      </c>
      <c r="CG18" s="10">
        <f t="shared" si="251"/>
        <v>6.0212551947528361</v>
      </c>
      <c r="CH18" s="10">
        <f t="shared" si="252"/>
        <v>3.1329928598297236</v>
      </c>
      <c r="CI18" s="10">
        <f t="shared" si="253"/>
        <v>95.167020408988904</v>
      </c>
      <c r="CJ18" s="10">
        <f t="shared" si="254"/>
        <v>57.126488734355974</v>
      </c>
      <c r="CK18" s="14">
        <f t="shared" si="255"/>
        <v>0.5201684174386304</v>
      </c>
      <c r="CL18" s="14">
        <f t="shared" si="256"/>
        <v>0.31224467374381465</v>
      </c>
      <c r="CM18" s="10">
        <f t="shared" si="257"/>
        <v>16.1740818478584</v>
      </c>
      <c r="CO18" s="60" t="str">
        <f t="shared" si="26"/>
        <v>2050_1</v>
      </c>
      <c r="CP18" s="29">
        <f>管理者入力シート!B13</f>
        <v>2050</v>
      </c>
      <c r="CQ18" s="4" t="s">
        <v>21</v>
      </c>
      <c r="CR18" s="10">
        <f>DT19*$AK$13+将来予測シート②!$G17</f>
        <v>7.274981209980238</v>
      </c>
      <c r="CS18" s="10">
        <f>IF(管理者入力シート!$B$14=1,CR15*管理者用人口入力シート!AM$3,IF(管理者入力シート!$B$14=2,CR15*管理者用人口入力シート!AM$7))+将来予測シート②!$G18</f>
        <v>7.0662017447089109</v>
      </c>
      <c r="CT18" s="10">
        <f>IF(管理者入力シート!$B$14=1,CS15*管理者用人口入力シート!AN$3,IF(管理者入力シート!$B$14=2,CS15*管理者用人口入力シート!AN$7))+将来予測シート②!$G19</f>
        <v>8.3102600876114909</v>
      </c>
      <c r="CU18" s="10">
        <f>IF(管理者入力シート!$B$14=1,CT15*管理者用人口入力シート!AO$3,IF(管理者入力シート!$B$14=2,CT15*管理者用人口入力シート!AO$7))+将来予測シート②!$G20</f>
        <v>7.5920615654430001</v>
      </c>
      <c r="CV18" s="10">
        <f>IF(管理者入力シート!$B$14=1,CU15*管理者用人口入力シート!AP$3,IF(管理者入力シート!$B$14=2,CU15*管理者用人口入力シート!AP$7))+将来予測シート②!$G21</f>
        <v>3.9205252948811058</v>
      </c>
      <c r="CW18" s="10">
        <f>IF(管理者入力シート!$B$14=1,CV15*管理者用人口入力シート!AQ$3,IF(管理者入力シート!$B$14=2,CV15*管理者用人口入力シート!AQ$7))+将来予測シート②!$G22</f>
        <v>5.636488328319528</v>
      </c>
      <c r="CX18" s="10">
        <f>IF(管理者入力シート!$B$14=1,CW15*管理者用人口入力シート!AR$3,IF(管理者入力シート!$B$14=2,CW15*管理者用人口入力シート!AR$7))+将来予測シート②!$G23</f>
        <v>5.7869575371895916</v>
      </c>
      <c r="CY18" s="10">
        <f>IF(管理者入力シート!$B$14=1,CX15*管理者用人口入力シート!AS$3,IF(管理者入力シート!$B$14=2,CX15*管理者用人口入力シート!AS$7))+将来予測シート②!$G24</f>
        <v>9.271790494802767</v>
      </c>
      <c r="CZ18" s="10">
        <f>IF(管理者入力シート!$B$14=1,CY15*管理者用人口入力シート!AT$3,IF(管理者入力シート!$B$14=2,CY15*管理者用人口入力シート!AT$7))+将来予測シート②!$G25</f>
        <v>9.4829888868834598</v>
      </c>
      <c r="DA18" s="10">
        <f>IF(管理者入力シート!$B$14=1,CZ15*管理者用人口入力シート!AU$3,IF(管理者入力シート!$B$14=2,CZ15*管理者用人口入力シート!AU$7))+将来予測シート②!$G26</f>
        <v>11.405719412612745</v>
      </c>
      <c r="DB18" s="10">
        <f>IF(管理者入力シート!$B$14=1,DA15*管理者用人口入力シート!AV$3,IF(管理者入力シート!$B$14=2,DA15*管理者用人口入力シート!AV$7))+将来予測シート②!$G27</f>
        <v>10.72455578151409</v>
      </c>
      <c r="DC18" s="10">
        <f>IF(管理者入力シート!$B$14=1,DB15*管理者用人口入力シート!AW$3,IF(管理者入力シート!$B$14=2,DB15*管理者用人口入力シート!AW$7))+将来予測シート②!$G28</f>
        <v>11.141332277489742</v>
      </c>
      <c r="DD18" s="10">
        <f>IF(管理者入力シート!$B$14=1,DC15*管理者用人口入力シート!AX$3,IF(管理者入力シート!$B$14=2,DC15*管理者用人口入力シート!AX$7))+将来予測シート②!$G29</f>
        <v>15.308498433062013</v>
      </c>
      <c r="DE18" s="10">
        <f>IF(管理者入力シート!$B$14=1,DD15*管理者用人口入力シート!AY$3,IF(管理者入力シート!$B$14=2,DD15*管理者用人口入力シート!AY$7))</f>
        <v>18.817647002290297</v>
      </c>
      <c r="DF18" s="10">
        <f>IF(管理者入力シート!$B$14=1,DE15*管理者用人口入力シート!AZ$3,IF(管理者入力シート!$B$14=2,DE15*管理者用人口入力シート!AZ$7))</f>
        <v>19.222884672342644</v>
      </c>
      <c r="DG18" s="10">
        <f>IF(管理者入力シート!$B$14=1,DF15*管理者用人口入力シート!BA$3,IF(管理者入力シート!$B$14=2,DF15*管理者用人口入力シート!BA$7))</f>
        <v>17.954900361264894</v>
      </c>
      <c r="DH18" s="10">
        <f>IF(管理者入力シート!$B$14=1,DG15*管理者用人口入力シート!BB$3,IF(管理者入力シート!$B$14=2,DG15*管理者用人口入力シート!BB$7))</f>
        <v>17.490920761567658</v>
      </c>
      <c r="DI18" s="10">
        <f>IF(管理者入力シート!$B$14=1,DH15*管理者用人口入力シート!BC$3,IF(管理者入力シート!$B$14=2,DH15*管理者用人口入力シート!BC$7))</f>
        <v>13.603450696256495</v>
      </c>
      <c r="DJ18" s="10">
        <f>IF(管理者入力シート!$B$14=1,DI15*管理者用人口入力シート!BD$3,IF(管理者入力シート!$B$14=2,DI15*管理者用人口入力シート!BD$7))</f>
        <v>8.0679390327732641</v>
      </c>
      <c r="DK18" s="10">
        <f>IF(管理者入力シート!$B$14=1,DJ15*管理者用人口入力シート!BE$3,IF(管理者入力シート!$B$14=2,DJ15*管理者用人口入力シート!BE$7))</f>
        <v>9.2678737364367339E-3</v>
      </c>
      <c r="DL18" s="10">
        <f>IF(管理者入力シート!$B$14=1,DK15*管理者用人口入力シート!BF$3,IF(管理者入力シート!$B$14=2,DK15*管理者用人口入力シート!BF$7))</f>
        <v>1.0008757226223597E-5</v>
      </c>
      <c r="DM18" s="10">
        <f t="shared" si="258"/>
        <v>208.08938146348754</v>
      </c>
      <c r="DN18" s="10">
        <f t="shared" si="259"/>
        <v>9.2258770993922425</v>
      </c>
      <c r="DO18" s="10">
        <f t="shared" si="260"/>
        <v>4.8425163481331968</v>
      </c>
      <c r="DP18" s="10">
        <f t="shared" si="261"/>
        <v>95.167020408988904</v>
      </c>
      <c r="DQ18" s="10">
        <f t="shared" si="262"/>
        <v>57.126488734355974</v>
      </c>
      <c r="DR18" s="14">
        <f t="shared" si="263"/>
        <v>0.45733722566563256</v>
      </c>
      <c r="DS18" s="14">
        <f t="shared" si="264"/>
        <v>0.27452861041052057</v>
      </c>
      <c r="DT18" s="10">
        <f t="shared" si="265"/>
        <v>24.615761655192991</v>
      </c>
      <c r="DX18" s="314">
        <f>DX1</f>
        <v>11</v>
      </c>
      <c r="DY18" s="315"/>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0" t="s">
        <v>50</v>
      </c>
      <c r="EW18" s="310" t="s">
        <v>51</v>
      </c>
      <c r="EX18" s="312" t="s">
        <v>79</v>
      </c>
      <c r="EY18" s="312" t="s">
        <v>80</v>
      </c>
      <c r="EZ18" s="310" t="s">
        <v>48</v>
      </c>
      <c r="FA18" s="310" t="s">
        <v>49</v>
      </c>
      <c r="FB18" s="310" t="s">
        <v>97</v>
      </c>
    </row>
    <row r="19" spans="1:158" x14ac:dyDescent="0.15">
      <c r="A19" s="60" t="str">
        <f t="shared" si="268"/>
        <v>2030_2</v>
      </c>
      <c r="B19" s="30">
        <v>2030</v>
      </c>
      <c r="C19" s="5" t="s">
        <v>22</v>
      </c>
      <c r="D19" s="5"/>
      <c r="E19" s="5"/>
      <c r="F19" s="5"/>
      <c r="G19" s="5"/>
      <c r="H19" s="5"/>
      <c r="I19" s="5"/>
      <c r="J19" s="5"/>
      <c r="K19" s="5"/>
      <c r="L19" s="5"/>
      <c r="M19" s="5"/>
      <c r="N19" s="5"/>
      <c r="O19" s="5"/>
      <c r="P19" s="5"/>
      <c r="Q19" s="5"/>
      <c r="R19" s="5"/>
      <c r="S19" s="5"/>
      <c r="T19" s="5"/>
      <c r="U19" s="5"/>
      <c r="V19" s="5"/>
      <c r="W19" s="5"/>
      <c r="X19" s="5"/>
      <c r="Y19" s="11">
        <f>SUM(D19:X19)</f>
        <v>0</v>
      </c>
      <c r="Z19" s="11">
        <f>E19*3/5+F19*3/5</f>
        <v>0</v>
      </c>
      <c r="AA19" s="11">
        <f>F19*2/5+G19*1/5</f>
        <v>0</v>
      </c>
      <c r="AB19" s="11">
        <f t="shared" si="0"/>
        <v>0</v>
      </c>
      <c r="AC19" s="11">
        <f>SUM(S19:X19)</f>
        <v>0</v>
      </c>
      <c r="AD19" s="15" t="e">
        <f>AB19/Y19</f>
        <v>#DIV/0!</v>
      </c>
      <c r="AE19" s="15" t="e">
        <f>AC19/Y19</f>
        <v>#DIV/0!</v>
      </c>
      <c r="AF19" s="11">
        <f t="shared" si="17"/>
        <v>0</v>
      </c>
      <c r="BH19" s="60" t="str">
        <f t="shared" si="19"/>
        <v>2050_2</v>
      </c>
      <c r="BI19" s="30">
        <f>BI18</f>
        <v>2050</v>
      </c>
      <c r="BJ19" s="5" t="s">
        <v>22</v>
      </c>
      <c r="BK19" s="11">
        <f>CM19*$AK$14</f>
        <v>5.6373530487876176</v>
      </c>
      <c r="BL19" s="11">
        <f>IF(管理者入力シート!$B$14=1,BK16*管理者用人口入力シート!AM$4,IF(管理者入力シート!$B$14=2,BK16*管理者用人口入力シート!AM$8))</f>
        <v>7.2369511531186701</v>
      </c>
      <c r="BM19" s="11">
        <f>IF(管理者入力シート!$B$14=1,BL16*管理者用人口入力シート!AN$4,IF(管理者入力シート!$B$14=2,BL16*管理者用人口入力シート!AN$8))</f>
        <v>9.1416841411358725</v>
      </c>
      <c r="BN19" s="11">
        <f>IF(管理者入力シート!$B$14=1,BM16*管理者用人口入力シート!AO$4,IF(管理者入力シート!$B$14=2,BM16*管理者用人口入力シート!AO$8))</f>
        <v>8.3716556052633901</v>
      </c>
      <c r="BO19" s="11">
        <f>IF(管理者入力シート!$B$14=1,BN16*管理者用人口入力シート!AP$4,IF(管理者入力シート!$B$14=2,BN16*管理者用人口入力シート!AP$8))</f>
        <v>5.5403464955287278</v>
      </c>
      <c r="BP19" s="11">
        <f>IF(管理者入力シート!$B$14=1,BO16*管理者用人口入力シート!AQ$4,IF(管理者入力シート!$B$14=2,BO16*管理者用人口入力シート!AQ$8))</f>
        <v>5.4299968020049203</v>
      </c>
      <c r="BQ19" s="11">
        <f>IF(管理者入力シート!$B$14=1,BP16*管理者用人口入力シート!AR$4,IF(管理者入力シート!$B$14=2,BP16*管理者用人口入力シート!AR$8))</f>
        <v>6.6281864134064659</v>
      </c>
      <c r="BR19" s="11">
        <f>IF(管理者入力シート!$B$14=1,BQ16*管理者用人口入力シート!AS$4,IF(管理者入力シート!$B$14=2,BQ16*管理者用人口入力シート!AS$8))</f>
        <v>7.441805924372324</v>
      </c>
      <c r="BS19" s="11">
        <f>IF(管理者入力シート!$B$14=1,BR16*管理者用人口入力シート!AT$4,IF(管理者入力シート!$B$14=2,BR16*管理者用人口入力シート!AT$8))</f>
        <v>7.9612948643243362</v>
      </c>
      <c r="BT19" s="11">
        <f>IF(管理者入力シート!$B$14=1,BS16*管理者用人口入力シート!AU$4,IF(管理者入力シート!$B$14=2,BS16*管理者用人口入力シート!AU$8))</f>
        <v>9.0727375210355667</v>
      </c>
      <c r="BU19" s="11">
        <f>IF(管理者入力シート!$B$14=1,BT16*管理者用人口入力シート!AV$4,IF(管理者入力シート!$B$14=2,BT16*管理者用人口入力シート!AV$8))</f>
        <v>14.930287553644535</v>
      </c>
      <c r="BV19" s="11">
        <f>IF(管理者入力シート!$B$14=1,BU16*管理者用人口入力シート!AW$4,IF(管理者入力シート!$B$14=2,BU16*管理者用人口入力シート!AW$8))</f>
        <v>11.950171714163321</v>
      </c>
      <c r="BW19" s="11">
        <f>IF(管理者入力シート!$B$14=1,BV16*管理者用人口入力シート!AX$4,IF(管理者入力シート!$B$14=2,BV16*管理者用人口入力シート!AX$8))</f>
        <v>13.424564039614484</v>
      </c>
      <c r="BX19" s="11">
        <f>IF(管理者入力シート!$B$14=1,BW16*管理者用人口入力シート!AY$4,IF(管理者入力シート!$B$14=2,BW16*管理者用人口入力シート!AY$8))</f>
        <v>18.840819226022017</v>
      </c>
      <c r="BY19" s="11">
        <f>IF(管理者入力シート!$B$14=1,BX16*管理者用人口入力シート!AZ$4,IF(管理者入力シート!$B$14=2,BX16*管理者用人口入力シート!AZ$8))</f>
        <v>25.286548825694734</v>
      </c>
      <c r="BZ19" s="11">
        <f>IF(管理者入力シート!$B$14=1,BY16*管理者用人口入力シート!BA$4,IF(管理者入力シート!$B$14=2,BY16*管理者用人口入力シート!BA$8))</f>
        <v>27.551384038665514</v>
      </c>
      <c r="CA19" s="11">
        <f>IF(管理者入力シート!$B$14=1,BZ16*管理者用人口入力シート!BB$4,IF(管理者入力シート!$B$14=2,BZ16*管理者用人口入力シート!BB$8))</f>
        <v>23.395665473356075</v>
      </c>
      <c r="CB19" s="11">
        <f>IF(管理者入力シート!$B$14=1,CA16*管理者用人口入力シート!BC$4,IF(管理者入力シート!$B$14=2,CA16*管理者用人口入力シート!BC$8))</f>
        <v>22.941476827046433</v>
      </c>
      <c r="CC19" s="11">
        <f>IF(管理者入力シート!$B$14=1,CB16*管理者用人口入力シート!BD$4,IF(管理者入力シート!$B$14=2,CB16*管理者用人口入力シート!BD$8))</f>
        <v>18.880216400289587</v>
      </c>
      <c r="CD19" s="11">
        <f>IF(管理者入力シート!$B$14=1,CC16*管理者用人口入力シート!BE$4,IF(管理者入力シート!$B$14=2,CC16*管理者用人口入力シート!BE$8))</f>
        <v>7.013308991372309</v>
      </c>
      <c r="CE19" s="11">
        <f>IF(管理者入力シート!$B$14=1,CD16*管理者用人口入力シート!BF$4,IF(管理者入力シート!$B$14=2,CD16*管理者用人口入力シート!BF$8))</f>
        <v>0.14343026815333204</v>
      </c>
      <c r="CF19" s="11">
        <f t="shared" si="250"/>
        <v>256.81988532700024</v>
      </c>
      <c r="CG19" s="11">
        <f t="shared" si="251"/>
        <v>9.8271811765527239</v>
      </c>
      <c r="CH19" s="11">
        <f t="shared" si="252"/>
        <v>5.3310047775070277</v>
      </c>
      <c r="CI19" s="11">
        <f t="shared" si="253"/>
        <v>144.0528500506</v>
      </c>
      <c r="CJ19" s="11">
        <f t="shared" si="254"/>
        <v>99.925481998883257</v>
      </c>
      <c r="CK19" s="15">
        <f t="shared" si="255"/>
        <v>0.56091003181931298</v>
      </c>
      <c r="CL19" s="15">
        <f t="shared" si="256"/>
        <v>0.38908779151447503</v>
      </c>
      <c r="CM19" s="11">
        <f t="shared" si="257"/>
        <v>25.040335635312438</v>
      </c>
      <c r="CO19" s="60" t="str">
        <f t="shared" si="26"/>
        <v>2050_2</v>
      </c>
      <c r="CP19" s="30">
        <f>CP18</f>
        <v>2050</v>
      </c>
      <c r="CQ19" s="5" t="s">
        <v>22</v>
      </c>
      <c r="CR19" s="11">
        <f>DT19*$AK$14+将来予測シート②!$H17</f>
        <v>8.7137974897745316</v>
      </c>
      <c r="CS19" s="11">
        <f>IF(管理者入力シート!$B$14=1,CR16*管理者用人口入力シート!AM$4,IF(管理者入力シート!$B$14=2,CR16*管理者用人口入力シート!AM$8))+将来予測シート②!$H18</f>
        <v>10.39694445543809</v>
      </c>
      <c r="CT19" s="11">
        <f>IF(管理者入力シート!$B$14=1,CS16*管理者用人口入力シート!AN$4,IF(管理者入力シート!$B$14=2,CS16*管理者用人口入力シート!AN$8))+将来予測シート②!$H19</f>
        <v>13.457789448957408</v>
      </c>
      <c r="CU19" s="11">
        <f>IF(管理者入力シート!$B$14=1,CT16*管理者用人口入力シート!AO$4,IF(管理者入力シート!$B$14=2,CT16*管理者用人口入力シート!AO$8))+将来予測シート②!$H20</f>
        <v>11.477164322646157</v>
      </c>
      <c r="CV19" s="11">
        <f>IF(管理者入力シート!$B$14=1,CU16*管理者用人口入力シート!AP$4,IF(管理者入力シート!$B$14=2,CU16*管理者用人口入力シート!AP$8))+将来予測シート②!$H21</f>
        <v>7.0982040971642277</v>
      </c>
      <c r="CW19" s="11">
        <f>IF(管理者入力シート!$B$14=1,CV16*管理者用人口入力シート!AQ$4,IF(管理者入力シート!$B$14=2,CV16*管理者用人口入力シート!AQ$8))+将来予測シート②!$H22</f>
        <v>8.3357924162010058</v>
      </c>
      <c r="CX19" s="11">
        <f>IF(管理者入力シート!$B$14=1,CW16*管理者用人口入力シート!AR$4,IF(管理者入力シート!$B$14=2,CW16*管理者用人口入力シート!AR$8))+将来予測シート②!$H23</f>
        <v>9.021325712658216</v>
      </c>
      <c r="CY19" s="11">
        <f>IF(管理者入力シート!$B$14=1,CX16*管理者用人口入力シート!AS$4,IF(管理者入力シート!$B$14=2,CX16*管理者用人口入力シート!AS$8))+将来予測シート②!$H24</f>
        <v>9.8082898797192364</v>
      </c>
      <c r="CZ19" s="11">
        <f>IF(管理者入力シート!$B$14=1,CY16*管理者用人口入力シート!AT$4,IF(管理者入力シート!$B$14=2,CY16*管理者用人口入力シート!AT$8))+将来予測シート②!$H25</f>
        <v>11.009269455346363</v>
      </c>
      <c r="DA19" s="11">
        <f>IF(管理者入力シート!$B$14=1,CZ16*管理者用人口入力シート!AU$4,IF(管理者入力シート!$B$14=2,CZ16*管理者用人口入力シート!AU$8))+将来予測シート②!$H26</f>
        <v>12.332117637579822</v>
      </c>
      <c r="DB19" s="11">
        <f>IF(管理者入力シート!$B$14=1,DA16*管理者用人口入力シート!AV$4,IF(管理者入力シート!$B$14=2,DA16*管理者用人口入力シート!AV$8))+将来予測シート②!$H27</f>
        <v>18.111000598394156</v>
      </c>
      <c r="DC19" s="11">
        <f>IF(管理者入力シート!$B$14=1,DB16*管理者用人口入力シート!AW$4,IF(管理者入力シート!$B$14=2,DB16*管理者用人口入力シート!AW$8))+将来予測シート②!$H28</f>
        <v>13.000926087682435</v>
      </c>
      <c r="DD19" s="11">
        <f>IF(管理者入力シート!$B$14=1,DC16*管理者用人口入力シート!AX$4,IF(管理者入力シート!$B$14=2,DC16*管理者用人口入力シート!AX$8))+将来予測シート②!$H29</f>
        <v>14.464741362246203</v>
      </c>
      <c r="DE19" s="11">
        <f>IF(管理者入力シート!$B$14=1,DD16*管理者用人口入力シート!AY$4,IF(管理者入力シート!$B$14=2,DD16*管理者用人口入力シート!AY$8))</f>
        <v>19.868456473886965</v>
      </c>
      <c r="DF19" s="11">
        <f>IF(管理者入力シート!$B$14=1,DE16*管理者用人口入力シート!AZ$4,IF(管理者入力シート!$B$14=2,DE16*管理者用人口入力シート!AZ$8))</f>
        <v>25.286548825694734</v>
      </c>
      <c r="DG19" s="11">
        <f>IF(管理者入力シート!$B$14=1,DF16*管理者用人口入力シート!BA$4,IF(管理者入力シート!$B$14=2,DF16*管理者用人口入力シート!BA$8))</f>
        <v>27.551384038665514</v>
      </c>
      <c r="DH19" s="11">
        <f>IF(管理者入力シート!$B$14=1,DG16*管理者用人口入力シート!BB$4,IF(管理者入力シート!$B$14=2,DG16*管理者用人口入力シート!BB$8))</f>
        <v>23.395665473356075</v>
      </c>
      <c r="DI19" s="11">
        <f>IF(管理者入力シート!$B$14=1,DH16*管理者用人口入力シート!BC$4,IF(管理者入力シート!$B$14=2,DH16*管理者用人口入力シート!BC$8))</f>
        <v>22.941476827046433</v>
      </c>
      <c r="DJ19" s="11">
        <f>IF(管理者入力シート!$B$14=1,DI16*管理者用人口入力シート!BD$4,IF(管理者入力シート!$B$14=2,DI16*管理者用人口入力シート!BD$8))</f>
        <v>18.880216400289587</v>
      </c>
      <c r="DK19" s="11">
        <f>IF(管理者入力シート!$B$14=1,DJ16*管理者用人口入力シート!BE$4,IF(管理者入力シート!$B$14=2,DJ16*管理者用人口入力シート!BE$8))</f>
        <v>7.013308991372309</v>
      </c>
      <c r="DL19" s="11">
        <f>IF(管理者入力シート!$B$14=1,DK16*管理者用人口入力シート!BF$4,IF(管理者入力シート!$B$14=2,DK16*管理者用人口入力シート!BF$8))</f>
        <v>0.14343026815333204</v>
      </c>
      <c r="DM19" s="11">
        <f t="shared" si="258"/>
        <v>292.30785026227278</v>
      </c>
      <c r="DN19" s="11">
        <f t="shared" si="259"/>
        <v>14.312840342637299</v>
      </c>
      <c r="DO19" s="11">
        <f t="shared" si="260"/>
        <v>7.6785486441121948</v>
      </c>
      <c r="DP19" s="11">
        <f t="shared" si="261"/>
        <v>145.08048729846496</v>
      </c>
      <c r="DQ19" s="11">
        <f t="shared" si="262"/>
        <v>99.925481998883257</v>
      </c>
      <c r="DR19" s="15">
        <f t="shared" si="263"/>
        <v>0.49632771466209924</v>
      </c>
      <c r="DS19" s="15">
        <f t="shared" si="264"/>
        <v>0.34185014842819056</v>
      </c>
      <c r="DT19" s="11">
        <f t="shared" si="265"/>
        <v>34.263612105742681</v>
      </c>
      <c r="DX19" s="316"/>
      <c r="DY19" s="317"/>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0"/>
      <c r="EW19" s="310"/>
      <c r="EX19" s="313"/>
      <c r="EY19" s="313"/>
      <c r="EZ19" s="310"/>
      <c r="FA19" s="310"/>
      <c r="FB19" s="310"/>
    </row>
    <row r="20" spans="1:158" x14ac:dyDescent="0.15">
      <c r="A20" s="60" t="str">
        <f t="shared" si="268"/>
        <v>2030_3</v>
      </c>
      <c r="B20" s="31">
        <v>2030</v>
      </c>
      <c r="C20" s="6" t="s">
        <v>23</v>
      </c>
      <c r="D20" s="6"/>
      <c r="E20" s="6"/>
      <c r="F20" s="6"/>
      <c r="G20" s="6"/>
      <c r="H20" s="6"/>
      <c r="I20" s="6"/>
      <c r="J20" s="6"/>
      <c r="K20" s="6"/>
      <c r="L20" s="6"/>
      <c r="M20" s="6"/>
      <c r="N20" s="6"/>
      <c r="O20" s="6"/>
      <c r="P20" s="6"/>
      <c r="Q20" s="6"/>
      <c r="R20" s="6"/>
      <c r="S20" s="6"/>
      <c r="T20" s="6"/>
      <c r="U20" s="6"/>
      <c r="V20" s="6"/>
      <c r="W20" s="6"/>
      <c r="X20" s="6"/>
      <c r="Y20" s="12">
        <f>SUM(D20:X20)</f>
        <v>0</v>
      </c>
      <c r="Z20" s="12">
        <f t="shared" si="269"/>
        <v>0</v>
      </c>
      <c r="AA20" s="12">
        <f t="shared" si="270"/>
        <v>0</v>
      </c>
      <c r="AB20" s="12">
        <f t="shared" si="0"/>
        <v>0</v>
      </c>
      <c r="AC20" s="12">
        <f t="shared" si="271"/>
        <v>0</v>
      </c>
      <c r="AD20" s="16" t="e">
        <f t="shared" si="272"/>
        <v>#DIV/0!</v>
      </c>
      <c r="AE20" s="16" t="e">
        <f t="shared" si="273"/>
        <v>#DIV/0!</v>
      </c>
      <c r="AF20" s="12">
        <f t="shared" si="17"/>
        <v>0</v>
      </c>
      <c r="BH20" s="60" t="str">
        <f t="shared" si="19"/>
        <v>2050_3</v>
      </c>
      <c r="BI20" s="31">
        <f>BI19</f>
        <v>2050</v>
      </c>
      <c r="BJ20" s="6" t="s">
        <v>23</v>
      </c>
      <c r="BK20" s="17">
        <f>BK18+BK19</f>
        <v>10.22319867178453</v>
      </c>
      <c r="BL20" s="17">
        <f t="shared" ref="BL20:CE20" si="274">BL18+BL19</f>
        <v>12.034136712056451</v>
      </c>
      <c r="BM20" s="17">
        <f t="shared" si="274"/>
        <v>14.37992390678615</v>
      </c>
      <c r="BN20" s="17">
        <f t="shared" si="274"/>
        <v>13.56014037311145</v>
      </c>
      <c r="BO20" s="17">
        <f t="shared" si="274"/>
        <v>8.4115214250506689</v>
      </c>
      <c r="BP20" s="17">
        <f t="shared" si="274"/>
        <v>8.3571089291595104</v>
      </c>
      <c r="BQ20" s="17">
        <f t="shared" si="274"/>
        <v>10.107443318362904</v>
      </c>
      <c r="BR20" s="17">
        <f t="shared" si="274"/>
        <v>14.338343810597756</v>
      </c>
      <c r="BS20" s="17">
        <f t="shared" si="274"/>
        <v>15.382583495298437</v>
      </c>
      <c r="BT20" s="17">
        <f t="shared" si="274"/>
        <v>18.378817043358502</v>
      </c>
      <c r="BU20" s="17">
        <f t="shared" si="274"/>
        <v>23.556476339735909</v>
      </c>
      <c r="BV20" s="17">
        <f t="shared" si="274"/>
        <v>23.091503991653063</v>
      </c>
      <c r="BW20" s="17">
        <f t="shared" si="274"/>
        <v>28.733062472676497</v>
      </c>
      <c r="BX20" s="17">
        <f t="shared" si="274"/>
        <v>37.658466228312314</v>
      </c>
      <c r="BY20" s="17">
        <f t="shared" si="274"/>
        <v>44.509433498037382</v>
      </c>
      <c r="BZ20" s="17">
        <f t="shared" si="274"/>
        <v>45.506284399930408</v>
      </c>
      <c r="CA20" s="17">
        <f t="shared" si="274"/>
        <v>40.886586234923733</v>
      </c>
      <c r="CB20" s="17">
        <f t="shared" si="274"/>
        <v>36.544927523302931</v>
      </c>
      <c r="CC20" s="17">
        <f t="shared" si="274"/>
        <v>26.948155433062851</v>
      </c>
      <c r="CD20" s="17">
        <f t="shared" si="274"/>
        <v>7.0225768651087455</v>
      </c>
      <c r="CE20" s="17">
        <f t="shared" si="274"/>
        <v>0.14344027691055827</v>
      </c>
      <c r="CF20" s="12">
        <f t="shared" si="250"/>
        <v>439.77413094922076</v>
      </c>
      <c r="CG20" s="12">
        <f t="shared" si="251"/>
        <v>15.848436371305562</v>
      </c>
      <c r="CH20" s="12">
        <f t="shared" si="252"/>
        <v>8.4639976373367496</v>
      </c>
      <c r="CI20" s="12">
        <f t="shared" si="253"/>
        <v>239.21987045958892</v>
      </c>
      <c r="CJ20" s="12">
        <f t="shared" si="254"/>
        <v>157.05197073323922</v>
      </c>
      <c r="CK20" s="16">
        <f t="shared" si="255"/>
        <v>0.54396075990929726</v>
      </c>
      <c r="CL20" s="16">
        <f t="shared" si="256"/>
        <v>0.35711962046119872</v>
      </c>
      <c r="CM20" s="12">
        <f t="shared" si="257"/>
        <v>41.214417483170841</v>
      </c>
      <c r="CO20" s="60" t="str">
        <f t="shared" si="26"/>
        <v>2050_3</v>
      </c>
      <c r="CP20" s="31">
        <f>CP19</f>
        <v>2050</v>
      </c>
      <c r="CQ20" s="6" t="s">
        <v>23</v>
      </c>
      <c r="CR20" s="17">
        <f>CR18+CR19</f>
        <v>15.98877869975477</v>
      </c>
      <c r="CS20" s="17">
        <f t="shared" ref="CS20:DL20" si="275">CS18+CS19</f>
        <v>17.463146200147001</v>
      </c>
      <c r="CT20" s="17">
        <f t="shared" si="275"/>
        <v>21.768049536568899</v>
      </c>
      <c r="CU20" s="17">
        <f t="shared" si="275"/>
        <v>19.069225888089157</v>
      </c>
      <c r="CV20" s="17">
        <f t="shared" si="275"/>
        <v>11.018729392045334</v>
      </c>
      <c r="CW20" s="17">
        <f t="shared" si="275"/>
        <v>13.972280744520534</v>
      </c>
      <c r="CX20" s="17">
        <f t="shared" si="275"/>
        <v>14.808283249847808</v>
      </c>
      <c r="CY20" s="17">
        <f t="shared" si="275"/>
        <v>19.080080374522005</v>
      </c>
      <c r="CZ20" s="17">
        <f t="shared" si="275"/>
        <v>20.492258342229825</v>
      </c>
      <c r="DA20" s="17">
        <f t="shared" si="275"/>
        <v>23.737837050192567</v>
      </c>
      <c r="DB20" s="17">
        <f t="shared" si="275"/>
        <v>28.835556379908247</v>
      </c>
      <c r="DC20" s="17">
        <f t="shared" si="275"/>
        <v>24.142258365172175</v>
      </c>
      <c r="DD20" s="17">
        <f t="shared" si="275"/>
        <v>29.773239795308214</v>
      </c>
      <c r="DE20" s="17">
        <f t="shared" si="275"/>
        <v>38.686103476177266</v>
      </c>
      <c r="DF20" s="17">
        <f t="shared" si="275"/>
        <v>44.509433498037382</v>
      </c>
      <c r="DG20" s="17">
        <f t="shared" si="275"/>
        <v>45.506284399930408</v>
      </c>
      <c r="DH20" s="17">
        <f t="shared" si="275"/>
        <v>40.886586234923733</v>
      </c>
      <c r="DI20" s="17">
        <f t="shared" si="275"/>
        <v>36.544927523302931</v>
      </c>
      <c r="DJ20" s="17">
        <f t="shared" si="275"/>
        <v>26.948155433062851</v>
      </c>
      <c r="DK20" s="17">
        <f t="shared" si="275"/>
        <v>7.0225768651087455</v>
      </c>
      <c r="DL20" s="17">
        <f t="shared" si="275"/>
        <v>0.14344027691055827</v>
      </c>
      <c r="DM20" s="12">
        <f t="shared" si="258"/>
        <v>500.39723172576043</v>
      </c>
      <c r="DN20" s="12">
        <f t="shared" si="259"/>
        <v>23.538717442029544</v>
      </c>
      <c r="DO20" s="12">
        <f t="shared" si="260"/>
        <v>12.521064992245392</v>
      </c>
      <c r="DP20" s="12">
        <f t="shared" si="261"/>
        <v>240.24750770745385</v>
      </c>
      <c r="DQ20" s="12">
        <f t="shared" si="262"/>
        <v>157.05197073323922</v>
      </c>
      <c r="DR20" s="16">
        <f t="shared" si="263"/>
        <v>0.48011358272085725</v>
      </c>
      <c r="DS20" s="16">
        <f t="shared" si="264"/>
        <v>0.31385459546129257</v>
      </c>
      <c r="DT20" s="12">
        <f t="shared" si="265"/>
        <v>58.879373760935685</v>
      </c>
      <c r="DX20" s="29">
        <f>DX3</f>
        <v>2025</v>
      </c>
      <c r="DY20" s="4" t="s">
        <v>21</v>
      </c>
      <c r="DZ20" s="10">
        <f t="shared" ref="DZ20:ET20" si="276">ROUND(DZ3,0)</f>
        <v>9</v>
      </c>
      <c r="EA20" s="10">
        <f t="shared" si="276"/>
        <v>10</v>
      </c>
      <c r="EB20" s="10">
        <f t="shared" si="276"/>
        <v>19</v>
      </c>
      <c r="EC20" s="10">
        <f t="shared" si="276"/>
        <v>16</v>
      </c>
      <c r="ED20" s="10">
        <f t="shared" si="276"/>
        <v>10</v>
      </c>
      <c r="EE20" s="10">
        <f t="shared" si="276"/>
        <v>19</v>
      </c>
      <c r="EF20" s="10">
        <f t="shared" si="276"/>
        <v>22</v>
      </c>
      <c r="EG20" s="10">
        <f t="shared" si="276"/>
        <v>26</v>
      </c>
      <c r="EH20" s="10">
        <f t="shared" si="276"/>
        <v>21</v>
      </c>
      <c r="EI20" s="10">
        <f t="shared" si="276"/>
        <v>23</v>
      </c>
      <c r="EJ20" s="10">
        <f t="shared" si="276"/>
        <v>23</v>
      </c>
      <c r="EK20" s="10">
        <f t="shared" si="276"/>
        <v>28</v>
      </c>
      <c r="EL20" s="10">
        <f t="shared" si="276"/>
        <v>29</v>
      </c>
      <c r="EM20" s="10">
        <f t="shared" si="276"/>
        <v>37</v>
      </c>
      <c r="EN20" s="10">
        <f t="shared" si="276"/>
        <v>39</v>
      </c>
      <c r="EO20" s="10">
        <f t="shared" si="276"/>
        <v>40</v>
      </c>
      <c r="EP20" s="10">
        <f t="shared" si="276"/>
        <v>24</v>
      </c>
      <c r="EQ20" s="10">
        <f t="shared" si="276"/>
        <v>21</v>
      </c>
      <c r="ER20" s="10">
        <f t="shared" si="276"/>
        <v>10</v>
      </c>
      <c r="ES20" s="10">
        <f t="shared" si="276"/>
        <v>0</v>
      </c>
      <c r="ET20" s="10">
        <f t="shared" si="276"/>
        <v>0</v>
      </c>
      <c r="EU20" s="10">
        <f t="shared" ref="EU20:EU21" si="277">SUM(DZ20:ET20)</f>
        <v>426</v>
      </c>
      <c r="EV20" s="10">
        <f>EA20*3/5+EB20*3/5</f>
        <v>17.399999999999999</v>
      </c>
      <c r="EW20" s="10">
        <f>EB20*2/5+EC20*1/5</f>
        <v>10.8</v>
      </c>
      <c r="EX20" s="10">
        <f t="shared" ref="EX20:EX31" si="278">SUM(EM20:ET20)</f>
        <v>171</v>
      </c>
      <c r="EY20" s="10">
        <f>SUM(EO20:ET20)</f>
        <v>95</v>
      </c>
      <c r="EZ20" s="14">
        <f>EX20/EU20</f>
        <v>0.40140845070422537</v>
      </c>
      <c r="FA20" s="14">
        <f>EY20/EU20</f>
        <v>0.22300469483568075</v>
      </c>
      <c r="FB20" s="10">
        <f>SUM(ED20:EG20)</f>
        <v>77</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H21" s="8"/>
      <c r="BI21" s="54"/>
      <c r="BJ21" s="51" t="s">
        <v>92</v>
      </c>
      <c r="BK21" s="55"/>
      <c r="BL21" s="55">
        <v>4</v>
      </c>
      <c r="BM21" s="55">
        <v>5</v>
      </c>
      <c r="BN21" s="55">
        <v>6</v>
      </c>
      <c r="BO21" s="55">
        <v>7</v>
      </c>
      <c r="BP21" s="55">
        <v>8</v>
      </c>
      <c r="BQ21" s="55">
        <v>9</v>
      </c>
      <c r="BR21" s="55">
        <v>10</v>
      </c>
      <c r="BS21" s="55">
        <v>11</v>
      </c>
      <c r="BT21" s="55">
        <v>12</v>
      </c>
      <c r="BU21" s="55">
        <v>13</v>
      </c>
      <c r="BV21" s="55">
        <v>14</v>
      </c>
      <c r="BW21" s="55">
        <v>15</v>
      </c>
      <c r="BX21" s="55">
        <v>16</v>
      </c>
      <c r="BY21" s="55">
        <v>17</v>
      </c>
      <c r="BZ21" s="55">
        <v>18</v>
      </c>
      <c r="CA21" s="55">
        <v>19</v>
      </c>
      <c r="CB21" s="55">
        <v>20</v>
      </c>
      <c r="CC21" s="55">
        <v>21</v>
      </c>
      <c r="CD21" s="55">
        <v>22</v>
      </c>
      <c r="CE21" s="55">
        <v>23</v>
      </c>
      <c r="CF21" s="56"/>
      <c r="CG21" s="56"/>
      <c r="CH21" s="56"/>
      <c r="CI21" s="56"/>
      <c r="CJ21" s="56"/>
      <c r="CK21" s="57"/>
      <c r="CL21" s="57"/>
      <c r="CM21" s="56"/>
      <c r="CO21" s="8"/>
      <c r="CP21" s="51"/>
      <c r="CQ21" s="55"/>
      <c r="CR21" s="55"/>
      <c r="CS21" s="55"/>
      <c r="CT21" s="55"/>
      <c r="CU21" s="55"/>
      <c r="CV21" s="55"/>
      <c r="CW21" s="55"/>
      <c r="CX21" s="55"/>
      <c r="CY21" s="55"/>
      <c r="CZ21" s="55"/>
      <c r="DA21" s="55"/>
      <c r="DB21" s="55"/>
      <c r="DC21" s="55"/>
      <c r="DD21" s="55"/>
      <c r="DE21" s="55"/>
      <c r="DF21" s="55"/>
      <c r="DG21" s="55"/>
      <c r="DH21" s="55"/>
      <c r="DI21" s="55"/>
      <c r="DJ21" s="55"/>
      <c r="DK21" s="55"/>
      <c r="DL21" s="55"/>
      <c r="DM21" s="56"/>
      <c r="DN21" s="56"/>
      <c r="DO21" s="56"/>
      <c r="DP21" s="56"/>
      <c r="DQ21" s="56"/>
      <c r="DR21" s="57"/>
      <c r="DS21" s="57"/>
      <c r="DT21" s="56"/>
      <c r="DV21" s="8"/>
      <c r="DW21" s="8"/>
      <c r="DX21" s="30">
        <f>DX20</f>
        <v>2025</v>
      </c>
      <c r="DY21" s="5" t="s">
        <v>22</v>
      </c>
      <c r="DZ21" s="11">
        <f t="shared" ref="DZ21:ET21" si="279">ROUND(DZ4,0)</f>
        <v>11</v>
      </c>
      <c r="EA21" s="11">
        <f t="shared" si="279"/>
        <v>15</v>
      </c>
      <c r="EB21" s="11">
        <f t="shared" si="279"/>
        <v>19</v>
      </c>
      <c r="EC21" s="11">
        <f t="shared" si="279"/>
        <v>15</v>
      </c>
      <c r="ED21" s="11">
        <f t="shared" si="279"/>
        <v>9</v>
      </c>
      <c r="EE21" s="11">
        <f t="shared" si="279"/>
        <v>25</v>
      </c>
      <c r="EF21" s="11">
        <f t="shared" si="279"/>
        <v>22</v>
      </c>
      <c r="EG21" s="11">
        <f t="shared" si="279"/>
        <v>23</v>
      </c>
      <c r="EH21" s="11">
        <f t="shared" si="279"/>
        <v>18</v>
      </c>
      <c r="EI21" s="11">
        <f t="shared" si="279"/>
        <v>27</v>
      </c>
      <c r="EJ21" s="11">
        <f t="shared" si="279"/>
        <v>30</v>
      </c>
      <c r="EK21" s="11">
        <f t="shared" si="279"/>
        <v>27</v>
      </c>
      <c r="EL21" s="11">
        <f t="shared" si="279"/>
        <v>33</v>
      </c>
      <c r="EM21" s="11">
        <f t="shared" si="279"/>
        <v>40</v>
      </c>
      <c r="EN21" s="11">
        <f t="shared" si="279"/>
        <v>47</v>
      </c>
      <c r="EO21" s="11">
        <f t="shared" si="279"/>
        <v>41</v>
      </c>
      <c r="EP21" s="11">
        <f t="shared" si="279"/>
        <v>41</v>
      </c>
      <c r="EQ21" s="11">
        <f t="shared" si="279"/>
        <v>30</v>
      </c>
      <c r="ER21" s="11">
        <f t="shared" si="279"/>
        <v>22</v>
      </c>
      <c r="ES21" s="11">
        <f t="shared" si="279"/>
        <v>5</v>
      </c>
      <c r="ET21" s="11">
        <f t="shared" si="279"/>
        <v>0</v>
      </c>
      <c r="EU21" s="11">
        <f t="shared" si="277"/>
        <v>500</v>
      </c>
      <c r="EV21" s="11">
        <f t="shared" ref="EV21:EV31" si="280">EA21*3/5+EB21*3/5</f>
        <v>20.399999999999999</v>
      </c>
      <c r="EW21" s="11">
        <f t="shared" ref="EW21:EW31" si="281">EB21*2/5+EC21*1/5</f>
        <v>10.6</v>
      </c>
      <c r="EX21" s="11">
        <f t="shared" si="278"/>
        <v>226</v>
      </c>
      <c r="EY21" s="11">
        <f t="shared" ref="EY21:EY31" si="282">SUM(EO21:ET21)</f>
        <v>139</v>
      </c>
      <c r="EZ21" s="15">
        <f t="shared" ref="EZ21:EZ31" si="283">EX21/EU21</f>
        <v>0.45200000000000001</v>
      </c>
      <c r="FA21" s="15">
        <f t="shared" ref="FA21:FA31" si="284">EY21/EU21</f>
        <v>0.27800000000000002</v>
      </c>
      <c r="FB21" s="11">
        <f>SUM(ED21:EG21)</f>
        <v>79</v>
      </c>
    </row>
    <row r="22" spans="1:158" x14ac:dyDescent="0.15">
      <c r="BH22" s="8"/>
      <c r="BI22" s="58"/>
      <c r="BJ22" s="3"/>
      <c r="BK22" s="3"/>
      <c r="BL22" s="3"/>
      <c r="BM22" s="3"/>
      <c r="BN22" s="3"/>
      <c r="BO22" s="3"/>
      <c r="BP22" s="3"/>
      <c r="BQ22" s="3"/>
      <c r="BR22" s="3"/>
      <c r="BS22" s="3"/>
      <c r="BT22" s="3"/>
      <c r="BU22" s="3"/>
      <c r="BV22" s="3"/>
      <c r="BW22" s="3"/>
      <c r="BX22" s="3"/>
      <c r="BY22" s="3"/>
      <c r="BZ22" s="3"/>
      <c r="CA22" s="3"/>
      <c r="CB22" s="3"/>
      <c r="CC22" s="3"/>
      <c r="CD22" s="3"/>
      <c r="CE22" s="3"/>
      <c r="CF22" s="13"/>
      <c r="CG22" s="13"/>
      <c r="CH22" s="13"/>
      <c r="CI22" s="13"/>
      <c r="CJ22" s="13"/>
      <c r="CK22" s="59"/>
      <c r="CL22" s="59"/>
      <c r="CM22" s="13"/>
      <c r="CO22" s="8"/>
      <c r="CP22" s="58"/>
      <c r="CQ22" s="3"/>
      <c r="CR22" s="3"/>
      <c r="CS22" s="3"/>
      <c r="CT22" s="3"/>
      <c r="CU22" s="3"/>
      <c r="CV22" s="3"/>
      <c r="CW22" s="3"/>
      <c r="CX22" s="3"/>
      <c r="CY22" s="3"/>
      <c r="CZ22" s="3"/>
      <c r="DA22" s="3"/>
      <c r="DB22" s="3"/>
      <c r="DC22" s="3"/>
      <c r="DD22" s="3"/>
      <c r="DE22" s="3"/>
      <c r="DF22" s="3"/>
      <c r="DG22" s="3"/>
      <c r="DH22" s="3"/>
      <c r="DI22" s="3"/>
      <c r="DJ22" s="3"/>
      <c r="DK22" s="3"/>
      <c r="DL22" s="3"/>
      <c r="DM22" s="13"/>
      <c r="DN22" s="13"/>
      <c r="DO22" s="13"/>
      <c r="DP22" s="13"/>
      <c r="DQ22" s="13"/>
      <c r="DR22" s="59"/>
      <c r="DS22" s="59"/>
      <c r="DT22" s="13"/>
      <c r="DV22" s="8"/>
      <c r="DW22" s="8"/>
      <c r="DX22" s="31">
        <f>DX21</f>
        <v>2025</v>
      </c>
      <c r="DY22" s="6" t="s">
        <v>23</v>
      </c>
      <c r="DZ22" s="17">
        <f>DZ20+DZ21</f>
        <v>20</v>
      </c>
      <c r="EA22" s="17">
        <f t="shared" ref="EA22:ET22" si="285">EA20+EA21</f>
        <v>25</v>
      </c>
      <c r="EB22" s="17">
        <f t="shared" si="285"/>
        <v>38</v>
      </c>
      <c r="EC22" s="17">
        <f t="shared" si="285"/>
        <v>31</v>
      </c>
      <c r="ED22" s="17">
        <f t="shared" si="285"/>
        <v>19</v>
      </c>
      <c r="EE22" s="17">
        <f t="shared" si="285"/>
        <v>44</v>
      </c>
      <c r="EF22" s="17">
        <f t="shared" si="285"/>
        <v>44</v>
      </c>
      <c r="EG22" s="17">
        <f t="shared" si="285"/>
        <v>49</v>
      </c>
      <c r="EH22" s="17">
        <f t="shared" si="285"/>
        <v>39</v>
      </c>
      <c r="EI22" s="17">
        <f t="shared" si="285"/>
        <v>50</v>
      </c>
      <c r="EJ22" s="17">
        <f t="shared" si="285"/>
        <v>53</v>
      </c>
      <c r="EK22" s="17">
        <f t="shared" si="285"/>
        <v>55</v>
      </c>
      <c r="EL22" s="17">
        <f t="shared" si="285"/>
        <v>62</v>
      </c>
      <c r="EM22" s="17">
        <f t="shared" si="285"/>
        <v>77</v>
      </c>
      <c r="EN22" s="17">
        <f t="shared" si="285"/>
        <v>86</v>
      </c>
      <c r="EO22" s="17">
        <f t="shared" si="285"/>
        <v>81</v>
      </c>
      <c r="EP22" s="17">
        <f t="shared" si="285"/>
        <v>65</v>
      </c>
      <c r="EQ22" s="17">
        <f t="shared" si="285"/>
        <v>51</v>
      </c>
      <c r="ER22" s="17">
        <f t="shared" si="285"/>
        <v>32</v>
      </c>
      <c r="ES22" s="17">
        <f t="shared" si="285"/>
        <v>5</v>
      </c>
      <c r="ET22" s="17">
        <f t="shared" si="285"/>
        <v>0</v>
      </c>
      <c r="EU22" s="12">
        <f>SUM(DZ22:ET22)</f>
        <v>926</v>
      </c>
      <c r="EV22" s="12">
        <f t="shared" si="280"/>
        <v>37.799999999999997</v>
      </c>
      <c r="EW22" s="12">
        <f t="shared" si="281"/>
        <v>21.4</v>
      </c>
      <c r="EX22" s="12">
        <f t="shared" si="278"/>
        <v>397</v>
      </c>
      <c r="EY22" s="12">
        <f t="shared" si="282"/>
        <v>234</v>
      </c>
      <c r="EZ22" s="16">
        <f t="shared" si="283"/>
        <v>0.42872570194384452</v>
      </c>
      <c r="FA22" s="16">
        <f t="shared" si="284"/>
        <v>0.25269978401727861</v>
      </c>
      <c r="FB22" s="12">
        <f>SUM(ED22:EG22)</f>
        <v>156</v>
      </c>
    </row>
    <row r="23" spans="1:158" x14ac:dyDescent="0.15">
      <c r="BH23" s="8"/>
      <c r="BI23" s="58"/>
      <c r="BJ23" s="3"/>
      <c r="BK23" s="3"/>
      <c r="BL23" s="3"/>
      <c r="BM23" s="3"/>
      <c r="BN23" s="3"/>
      <c r="BO23" s="3"/>
      <c r="BP23" s="3"/>
      <c r="BQ23" s="3"/>
      <c r="BR23" s="3"/>
      <c r="BS23" s="3"/>
      <c r="BT23" s="3"/>
      <c r="BU23" s="3"/>
      <c r="BV23" s="3"/>
      <c r="BW23" s="3"/>
      <c r="BX23" s="3"/>
      <c r="BY23" s="3"/>
      <c r="BZ23" s="3"/>
      <c r="CA23" s="3"/>
      <c r="CB23" s="3"/>
      <c r="CC23" s="3"/>
      <c r="CD23" s="3"/>
      <c r="CE23" s="3"/>
      <c r="CF23" s="13"/>
      <c r="CG23" s="13"/>
      <c r="CH23" s="13"/>
      <c r="CI23" s="13"/>
      <c r="CJ23" s="13"/>
      <c r="CK23" s="59"/>
      <c r="CL23" s="59"/>
      <c r="CM23" s="13"/>
      <c r="CO23" s="8"/>
      <c r="CP23" s="58"/>
      <c r="CQ23" s="3"/>
      <c r="CR23" s="3"/>
      <c r="CS23" s="3"/>
      <c r="CT23" s="3"/>
      <c r="CU23" s="3"/>
      <c r="CV23" s="3"/>
      <c r="CW23" s="3"/>
      <c r="CX23" s="3"/>
      <c r="CY23" s="3"/>
      <c r="CZ23" s="3"/>
      <c r="DA23" s="3"/>
      <c r="DB23" s="3"/>
      <c r="DC23" s="3"/>
      <c r="DD23" s="3"/>
      <c r="DE23" s="3"/>
      <c r="DF23" s="3"/>
      <c r="DG23" s="3"/>
      <c r="DH23" s="3"/>
      <c r="DI23" s="3"/>
      <c r="DJ23" s="3"/>
      <c r="DK23" s="3"/>
      <c r="DL23" s="3"/>
      <c r="DM23" s="13"/>
      <c r="DN23" s="13"/>
      <c r="DO23" s="13"/>
      <c r="DP23" s="13"/>
      <c r="DQ23" s="13"/>
      <c r="DR23" s="59"/>
      <c r="DS23" s="59"/>
      <c r="DT23" s="13"/>
      <c r="DV23" s="8"/>
      <c r="DW23" s="8"/>
      <c r="DX23" s="29">
        <f>DX6</f>
        <v>2030</v>
      </c>
      <c r="DY23" s="4" t="s">
        <v>21</v>
      </c>
      <c r="DZ23" s="10">
        <f t="shared" ref="DZ23:ET23" si="286">ROUND(DZ6,0)</f>
        <v>18</v>
      </c>
      <c r="EA23" s="10">
        <f t="shared" si="286"/>
        <v>8</v>
      </c>
      <c r="EB23" s="10">
        <f t="shared" si="286"/>
        <v>10</v>
      </c>
      <c r="EC23" s="10">
        <f t="shared" si="286"/>
        <v>15</v>
      </c>
      <c r="ED23" s="10">
        <f t="shared" si="286"/>
        <v>8</v>
      </c>
      <c r="EE23" s="10">
        <f t="shared" si="286"/>
        <v>20</v>
      </c>
      <c r="EF23" s="10">
        <f t="shared" si="286"/>
        <v>30</v>
      </c>
      <c r="EG23" s="10">
        <f t="shared" si="286"/>
        <v>33</v>
      </c>
      <c r="EH23" s="10">
        <f t="shared" si="286"/>
        <v>27</v>
      </c>
      <c r="EI23" s="10">
        <f t="shared" si="286"/>
        <v>21</v>
      </c>
      <c r="EJ23" s="10">
        <f t="shared" si="286"/>
        <v>23</v>
      </c>
      <c r="EK23" s="10">
        <f t="shared" si="286"/>
        <v>23</v>
      </c>
      <c r="EL23" s="10">
        <f t="shared" si="286"/>
        <v>27</v>
      </c>
      <c r="EM23" s="10">
        <f t="shared" si="286"/>
        <v>28</v>
      </c>
      <c r="EN23" s="10">
        <f t="shared" si="286"/>
        <v>34</v>
      </c>
      <c r="EO23" s="10">
        <f t="shared" si="286"/>
        <v>37</v>
      </c>
      <c r="EP23" s="10">
        <f t="shared" si="286"/>
        <v>31</v>
      </c>
      <c r="EQ23" s="10">
        <f t="shared" si="286"/>
        <v>17</v>
      </c>
      <c r="ER23" s="10">
        <f t="shared" si="286"/>
        <v>9</v>
      </c>
      <c r="ES23" s="10">
        <f t="shared" si="286"/>
        <v>0</v>
      </c>
      <c r="ET23" s="10">
        <f t="shared" si="286"/>
        <v>0</v>
      </c>
      <c r="EU23" s="10">
        <f t="shared" ref="EU23:EU31" si="287">SUM(DZ23:ET23)</f>
        <v>419</v>
      </c>
      <c r="EV23" s="10">
        <f t="shared" si="280"/>
        <v>10.8</v>
      </c>
      <c r="EW23" s="10">
        <f t="shared" si="281"/>
        <v>7</v>
      </c>
      <c r="EX23" s="10">
        <f t="shared" si="278"/>
        <v>156</v>
      </c>
      <c r="EY23" s="10">
        <f t="shared" si="282"/>
        <v>94</v>
      </c>
      <c r="EZ23" s="14">
        <f t="shared" si="283"/>
        <v>0.37231503579952269</v>
      </c>
      <c r="FA23" s="14">
        <f t="shared" si="284"/>
        <v>0.22434367541766109</v>
      </c>
      <c r="FB23" s="10">
        <f t="shared" ref="FB23:FB31" si="288">SUM(ED23:EG23)</f>
        <v>91</v>
      </c>
    </row>
    <row r="24" spans="1:158" x14ac:dyDescent="0.15">
      <c r="BH24" s="8"/>
      <c r="BI24" s="58"/>
      <c r="BJ24" s="3"/>
      <c r="BK24" s="3"/>
      <c r="BL24" s="3"/>
      <c r="BM24" s="3"/>
      <c r="BN24" s="3"/>
      <c r="BO24" s="3"/>
      <c r="BP24" s="3"/>
      <c r="BQ24" s="3"/>
      <c r="BR24" s="3"/>
      <c r="BS24" s="3"/>
      <c r="BT24" s="3"/>
      <c r="BU24" s="3"/>
      <c r="BV24" s="3"/>
      <c r="BW24" s="3"/>
      <c r="BX24" s="3"/>
      <c r="BY24" s="3"/>
      <c r="BZ24" s="3"/>
      <c r="CA24" s="3"/>
      <c r="CB24" s="3"/>
      <c r="CC24" s="3"/>
      <c r="CD24" s="3"/>
      <c r="CE24" s="3"/>
      <c r="CF24" s="13"/>
      <c r="CG24" s="13"/>
      <c r="CH24" s="13"/>
      <c r="CI24" s="13"/>
      <c r="CJ24" s="13"/>
      <c r="CK24" s="59"/>
      <c r="CL24" s="59"/>
      <c r="CM24" s="13"/>
      <c r="CO24" s="8"/>
      <c r="CP24" s="58"/>
      <c r="CQ24" s="3"/>
      <c r="CR24" s="13"/>
      <c r="CS24" s="13"/>
      <c r="CT24" s="13"/>
      <c r="CU24" s="13"/>
      <c r="CV24" s="13"/>
      <c r="CW24" s="13"/>
      <c r="CX24" s="13"/>
      <c r="CY24" s="13"/>
      <c r="CZ24" s="13"/>
      <c r="DA24" s="13"/>
      <c r="DB24" s="13"/>
      <c r="DC24" s="13"/>
      <c r="DD24" s="13"/>
      <c r="DE24" s="13"/>
      <c r="DF24" s="13"/>
      <c r="DG24" s="13"/>
      <c r="DH24" s="13"/>
      <c r="DI24" s="13"/>
      <c r="DJ24" s="13"/>
      <c r="DK24" s="13"/>
      <c r="DL24" s="13"/>
      <c r="DM24" s="13"/>
      <c r="DN24" s="13"/>
      <c r="DO24" s="13"/>
      <c r="DP24" s="13"/>
      <c r="DQ24" s="13"/>
      <c r="DR24" s="59"/>
      <c r="DS24" s="59"/>
      <c r="DT24" s="13"/>
      <c r="DV24" s="8"/>
      <c r="DW24" s="8"/>
      <c r="DX24" s="30">
        <f>DX23</f>
        <v>2030</v>
      </c>
      <c r="DY24" s="5" t="s">
        <v>22</v>
      </c>
      <c r="DZ24" s="11">
        <f t="shared" ref="DZ24:ET24" si="289">ROUND(DZ7,0)</f>
        <v>22</v>
      </c>
      <c r="EA24" s="11">
        <f t="shared" si="289"/>
        <v>12</v>
      </c>
      <c r="EB24" s="11">
        <f t="shared" si="289"/>
        <v>17</v>
      </c>
      <c r="EC24" s="11">
        <f t="shared" si="289"/>
        <v>14</v>
      </c>
      <c r="ED24" s="11">
        <f t="shared" si="289"/>
        <v>9</v>
      </c>
      <c r="EE24" s="11">
        <f t="shared" si="289"/>
        <v>19</v>
      </c>
      <c r="EF24" s="11">
        <f t="shared" si="289"/>
        <v>36</v>
      </c>
      <c r="EG24" s="11">
        <f t="shared" si="289"/>
        <v>33</v>
      </c>
      <c r="EH24" s="11">
        <f t="shared" si="289"/>
        <v>24</v>
      </c>
      <c r="EI24" s="11">
        <f t="shared" si="289"/>
        <v>20</v>
      </c>
      <c r="EJ24" s="11">
        <f t="shared" si="289"/>
        <v>26</v>
      </c>
      <c r="EK24" s="11">
        <f t="shared" si="289"/>
        <v>31</v>
      </c>
      <c r="EL24" s="11">
        <f t="shared" si="289"/>
        <v>27</v>
      </c>
      <c r="EM24" s="11">
        <f t="shared" si="289"/>
        <v>33</v>
      </c>
      <c r="EN24" s="11">
        <f t="shared" si="289"/>
        <v>40</v>
      </c>
      <c r="EO24" s="11">
        <f t="shared" si="289"/>
        <v>44</v>
      </c>
      <c r="EP24" s="11">
        <f t="shared" si="289"/>
        <v>40</v>
      </c>
      <c r="EQ24" s="11">
        <f t="shared" si="289"/>
        <v>33</v>
      </c>
      <c r="ER24" s="11">
        <f t="shared" si="289"/>
        <v>20</v>
      </c>
      <c r="ES24" s="11">
        <f t="shared" si="289"/>
        <v>7</v>
      </c>
      <c r="ET24" s="11">
        <f t="shared" si="289"/>
        <v>0</v>
      </c>
      <c r="EU24" s="11">
        <f t="shared" si="287"/>
        <v>507</v>
      </c>
      <c r="EV24" s="11">
        <f t="shared" si="280"/>
        <v>17.399999999999999</v>
      </c>
      <c r="EW24" s="11">
        <f t="shared" si="281"/>
        <v>9.6</v>
      </c>
      <c r="EX24" s="11">
        <f t="shared" si="278"/>
        <v>217</v>
      </c>
      <c r="EY24" s="11">
        <f t="shared" si="282"/>
        <v>144</v>
      </c>
      <c r="EZ24" s="15">
        <f t="shared" si="283"/>
        <v>0.42800788954635111</v>
      </c>
      <c r="FA24" s="15">
        <f t="shared" si="284"/>
        <v>0.28402366863905326</v>
      </c>
      <c r="FB24" s="11">
        <f t="shared" si="288"/>
        <v>97</v>
      </c>
    </row>
    <row r="25" spans="1:158" x14ac:dyDescent="0.15">
      <c r="BH25" s="8"/>
      <c r="BI25" s="58"/>
      <c r="BJ25" s="3"/>
      <c r="BK25" s="3"/>
      <c r="BL25" s="3"/>
      <c r="BM25" s="3"/>
      <c r="BN25" s="3"/>
      <c r="BO25" s="3"/>
      <c r="BP25" s="3"/>
      <c r="BQ25" s="3"/>
      <c r="BR25" s="3"/>
      <c r="BS25" s="3"/>
      <c r="BT25" s="3"/>
      <c r="BU25" s="3"/>
      <c r="BV25" s="3"/>
      <c r="BW25" s="3"/>
      <c r="BX25" s="3"/>
      <c r="BY25" s="3"/>
      <c r="BZ25" s="3"/>
      <c r="CA25" s="3"/>
      <c r="CB25" s="3"/>
      <c r="CC25" s="3"/>
      <c r="CD25" s="3"/>
      <c r="CE25" s="3"/>
      <c r="CF25" s="13"/>
      <c r="CG25" s="13"/>
      <c r="CH25" s="13"/>
      <c r="CI25" s="13"/>
      <c r="CJ25" s="13"/>
      <c r="CK25" s="59"/>
      <c r="CL25" s="59"/>
      <c r="CM25" s="13"/>
      <c r="CO25" s="8"/>
      <c r="CP25" s="58"/>
      <c r="CQ25" s="3"/>
      <c r="CR25" s="13"/>
      <c r="CS25" s="13"/>
      <c r="CT25" s="13"/>
      <c r="CU25" s="13"/>
      <c r="CV25" s="13"/>
      <c r="CW25" s="13"/>
      <c r="CX25" s="13"/>
      <c r="CY25" s="13"/>
      <c r="CZ25" s="13"/>
      <c r="DA25" s="13"/>
      <c r="DB25" s="13"/>
      <c r="DC25" s="13"/>
      <c r="DD25" s="13"/>
      <c r="DE25" s="13"/>
      <c r="DF25" s="13"/>
      <c r="DG25" s="13"/>
      <c r="DH25" s="13"/>
      <c r="DI25" s="13"/>
      <c r="DJ25" s="13"/>
      <c r="DK25" s="13"/>
      <c r="DL25" s="13"/>
      <c r="DM25" s="13"/>
      <c r="DN25" s="13"/>
      <c r="DO25" s="13"/>
      <c r="DP25" s="13"/>
      <c r="DQ25" s="13"/>
      <c r="DR25" s="59"/>
      <c r="DS25" s="59"/>
      <c r="DT25" s="13"/>
      <c r="DV25" s="8"/>
      <c r="DW25" s="8"/>
      <c r="DX25" s="31">
        <f>DX24</f>
        <v>2030</v>
      </c>
      <c r="DY25" s="6" t="s">
        <v>23</v>
      </c>
      <c r="DZ25" s="17">
        <f>DZ23+DZ24</f>
        <v>40</v>
      </c>
      <c r="EA25" s="17">
        <f t="shared" ref="EA25:ET25" si="290">EA23+EA24</f>
        <v>20</v>
      </c>
      <c r="EB25" s="17">
        <f t="shared" si="290"/>
        <v>27</v>
      </c>
      <c r="EC25" s="17">
        <f t="shared" si="290"/>
        <v>29</v>
      </c>
      <c r="ED25" s="17">
        <f t="shared" si="290"/>
        <v>17</v>
      </c>
      <c r="EE25" s="17">
        <f t="shared" si="290"/>
        <v>39</v>
      </c>
      <c r="EF25" s="17">
        <f t="shared" si="290"/>
        <v>66</v>
      </c>
      <c r="EG25" s="17">
        <f t="shared" si="290"/>
        <v>66</v>
      </c>
      <c r="EH25" s="17">
        <f t="shared" si="290"/>
        <v>51</v>
      </c>
      <c r="EI25" s="17">
        <f t="shared" si="290"/>
        <v>41</v>
      </c>
      <c r="EJ25" s="17">
        <f t="shared" si="290"/>
        <v>49</v>
      </c>
      <c r="EK25" s="17">
        <f t="shared" si="290"/>
        <v>54</v>
      </c>
      <c r="EL25" s="17">
        <f t="shared" si="290"/>
        <v>54</v>
      </c>
      <c r="EM25" s="17">
        <f t="shared" si="290"/>
        <v>61</v>
      </c>
      <c r="EN25" s="17">
        <f t="shared" si="290"/>
        <v>74</v>
      </c>
      <c r="EO25" s="17">
        <f t="shared" si="290"/>
        <v>81</v>
      </c>
      <c r="EP25" s="17">
        <f t="shared" si="290"/>
        <v>71</v>
      </c>
      <c r="EQ25" s="17">
        <f t="shared" si="290"/>
        <v>50</v>
      </c>
      <c r="ER25" s="17">
        <f t="shared" si="290"/>
        <v>29</v>
      </c>
      <c r="ES25" s="17">
        <f t="shared" si="290"/>
        <v>7</v>
      </c>
      <c r="ET25" s="17">
        <f t="shared" si="290"/>
        <v>0</v>
      </c>
      <c r="EU25" s="12">
        <f t="shared" si="287"/>
        <v>926</v>
      </c>
      <c r="EV25" s="12">
        <f t="shared" si="280"/>
        <v>28.2</v>
      </c>
      <c r="EW25" s="12">
        <f t="shared" si="281"/>
        <v>16.600000000000001</v>
      </c>
      <c r="EX25" s="12">
        <f t="shared" si="278"/>
        <v>373</v>
      </c>
      <c r="EY25" s="12">
        <f t="shared" si="282"/>
        <v>238</v>
      </c>
      <c r="EZ25" s="16">
        <f t="shared" si="283"/>
        <v>0.40280777537796975</v>
      </c>
      <c r="FA25" s="16">
        <f t="shared" si="284"/>
        <v>0.25701943844492442</v>
      </c>
      <c r="FB25" s="12">
        <f t="shared" si="288"/>
        <v>188</v>
      </c>
    </row>
    <row r="26" spans="1:158" x14ac:dyDescent="0.15">
      <c r="BH26" s="8"/>
      <c r="BI26" s="58"/>
      <c r="BJ26" s="3"/>
      <c r="BK26" s="3"/>
      <c r="BL26" s="3"/>
      <c r="BM26" s="3"/>
      <c r="BN26" s="3"/>
      <c r="BO26" s="3"/>
      <c r="BP26" s="3"/>
      <c r="BQ26" s="3"/>
      <c r="BR26" s="3"/>
      <c r="BS26" s="3"/>
      <c r="BT26" s="3"/>
      <c r="BU26" s="3"/>
      <c r="BV26" s="3"/>
      <c r="BW26" s="3"/>
      <c r="BX26" s="3"/>
      <c r="BY26" s="3"/>
      <c r="BZ26" s="3"/>
      <c r="CA26" s="3"/>
      <c r="CB26" s="3"/>
      <c r="CC26" s="3"/>
      <c r="CD26" s="3"/>
      <c r="CE26" s="3"/>
      <c r="CF26" s="13"/>
      <c r="CG26" s="13"/>
      <c r="CH26" s="13"/>
      <c r="CI26" s="13"/>
      <c r="CJ26" s="13"/>
      <c r="CK26" s="59"/>
      <c r="CL26" s="59"/>
      <c r="CM26" s="13"/>
      <c r="CO26" s="8"/>
      <c r="CP26" s="58"/>
      <c r="CQ26" s="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59"/>
      <c r="DS26" s="59"/>
      <c r="DT26" s="13"/>
      <c r="DV26" s="8"/>
      <c r="DW26" s="8"/>
      <c r="DX26" s="29">
        <f>DX9</f>
        <v>2035</v>
      </c>
      <c r="DY26" s="4" t="s">
        <v>21</v>
      </c>
      <c r="DZ26" s="10">
        <f t="shared" ref="DZ26:ET26" si="291">ROUND(DZ9,0)</f>
        <v>19</v>
      </c>
      <c r="EA26" s="10">
        <f t="shared" si="291"/>
        <v>17</v>
      </c>
      <c r="EB26" s="10">
        <f t="shared" si="291"/>
        <v>8</v>
      </c>
      <c r="EC26" s="10">
        <f t="shared" si="291"/>
        <v>8</v>
      </c>
      <c r="ED26" s="10">
        <f t="shared" si="291"/>
        <v>8</v>
      </c>
      <c r="EE26" s="10">
        <f t="shared" si="291"/>
        <v>18</v>
      </c>
      <c r="EF26" s="10">
        <f t="shared" si="291"/>
        <v>30</v>
      </c>
      <c r="EG26" s="10">
        <f t="shared" si="291"/>
        <v>42</v>
      </c>
      <c r="EH26" s="10">
        <f t="shared" si="291"/>
        <v>34</v>
      </c>
      <c r="EI26" s="10">
        <f t="shared" si="291"/>
        <v>28</v>
      </c>
      <c r="EJ26" s="10">
        <f t="shared" si="291"/>
        <v>21</v>
      </c>
      <c r="EK26" s="10">
        <f t="shared" si="291"/>
        <v>23</v>
      </c>
      <c r="EL26" s="10">
        <f t="shared" si="291"/>
        <v>22</v>
      </c>
      <c r="EM26" s="10">
        <f t="shared" si="291"/>
        <v>26</v>
      </c>
      <c r="EN26" s="10">
        <f t="shared" si="291"/>
        <v>26</v>
      </c>
      <c r="EO26" s="10">
        <f t="shared" si="291"/>
        <v>32</v>
      </c>
      <c r="EP26" s="10">
        <f t="shared" si="291"/>
        <v>29</v>
      </c>
      <c r="EQ26" s="10">
        <f t="shared" si="291"/>
        <v>23</v>
      </c>
      <c r="ER26" s="10">
        <f t="shared" si="291"/>
        <v>8</v>
      </c>
      <c r="ES26" s="10">
        <f t="shared" si="291"/>
        <v>0</v>
      </c>
      <c r="ET26" s="10">
        <f t="shared" si="291"/>
        <v>0</v>
      </c>
      <c r="EU26" s="10">
        <f t="shared" si="287"/>
        <v>422</v>
      </c>
      <c r="EV26" s="10">
        <f t="shared" si="280"/>
        <v>15</v>
      </c>
      <c r="EW26" s="10">
        <f t="shared" si="281"/>
        <v>4.8000000000000007</v>
      </c>
      <c r="EX26" s="10">
        <f t="shared" si="278"/>
        <v>144</v>
      </c>
      <c r="EY26" s="10">
        <f t="shared" si="282"/>
        <v>92</v>
      </c>
      <c r="EZ26" s="14">
        <f t="shared" si="283"/>
        <v>0.34123222748815168</v>
      </c>
      <c r="FA26" s="14">
        <f t="shared" si="284"/>
        <v>0.21800947867298578</v>
      </c>
      <c r="FB26" s="10">
        <f t="shared" si="288"/>
        <v>98</v>
      </c>
    </row>
    <row r="27" spans="1:158" x14ac:dyDescent="0.15">
      <c r="BH27" s="8"/>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O27" s="8"/>
      <c r="CP27" s="3"/>
      <c r="CQ27" s="3"/>
      <c r="CR27" s="13"/>
      <c r="CS27" s="13"/>
      <c r="CT27" s="13"/>
      <c r="CU27" s="13"/>
      <c r="CV27" s="13"/>
      <c r="CW27" s="13"/>
      <c r="CX27" s="13"/>
      <c r="CY27" s="13"/>
      <c r="CZ27" s="13"/>
      <c r="DA27" s="13"/>
      <c r="DB27" s="13"/>
      <c r="DC27" s="13"/>
      <c r="DD27" s="13"/>
      <c r="DE27" s="13"/>
      <c r="DF27" s="13"/>
      <c r="DG27" s="13"/>
      <c r="DH27" s="13"/>
      <c r="DI27" s="13"/>
      <c r="DJ27" s="13"/>
      <c r="DK27" s="13"/>
      <c r="DL27" s="13"/>
      <c r="DM27" s="13"/>
      <c r="DN27" s="13"/>
      <c r="DO27" s="13"/>
      <c r="DP27" s="13"/>
      <c r="DQ27" s="13"/>
      <c r="DR27" s="3"/>
      <c r="DS27" s="3"/>
      <c r="DV27" s="8"/>
      <c r="DW27" s="8"/>
      <c r="DX27" s="30">
        <f>DX26</f>
        <v>2035</v>
      </c>
      <c r="DY27" s="5" t="s">
        <v>22</v>
      </c>
      <c r="DZ27" s="11">
        <f t="shared" ref="DZ27:ET27" si="292">ROUND(DZ10,0)</f>
        <v>23</v>
      </c>
      <c r="EA27" s="11">
        <f t="shared" si="292"/>
        <v>25</v>
      </c>
      <c r="EB27" s="11">
        <f t="shared" si="292"/>
        <v>14</v>
      </c>
      <c r="EC27" s="11">
        <f t="shared" si="292"/>
        <v>12</v>
      </c>
      <c r="ED27" s="11">
        <f t="shared" si="292"/>
        <v>9</v>
      </c>
      <c r="EE27" s="11">
        <f t="shared" si="292"/>
        <v>19</v>
      </c>
      <c r="EF27" s="11">
        <f t="shared" si="292"/>
        <v>30</v>
      </c>
      <c r="EG27" s="11">
        <f t="shared" si="292"/>
        <v>47</v>
      </c>
      <c r="EH27" s="11">
        <f t="shared" si="292"/>
        <v>34</v>
      </c>
      <c r="EI27" s="11">
        <f t="shared" si="292"/>
        <v>26</v>
      </c>
      <c r="EJ27" s="11">
        <f t="shared" si="292"/>
        <v>19</v>
      </c>
      <c r="EK27" s="11">
        <f t="shared" si="292"/>
        <v>26</v>
      </c>
      <c r="EL27" s="11">
        <f t="shared" si="292"/>
        <v>30</v>
      </c>
      <c r="EM27" s="11">
        <f t="shared" si="292"/>
        <v>27</v>
      </c>
      <c r="EN27" s="11">
        <f t="shared" si="292"/>
        <v>32</v>
      </c>
      <c r="EO27" s="11">
        <f t="shared" si="292"/>
        <v>37</v>
      </c>
      <c r="EP27" s="11">
        <f t="shared" si="292"/>
        <v>42</v>
      </c>
      <c r="EQ27" s="11">
        <f t="shared" si="292"/>
        <v>32</v>
      </c>
      <c r="ER27" s="11">
        <f t="shared" si="292"/>
        <v>22</v>
      </c>
      <c r="ES27" s="11">
        <f t="shared" si="292"/>
        <v>6</v>
      </c>
      <c r="ET27" s="11">
        <f t="shared" si="292"/>
        <v>0</v>
      </c>
      <c r="EU27" s="11">
        <f t="shared" si="287"/>
        <v>512</v>
      </c>
      <c r="EV27" s="11">
        <f t="shared" si="280"/>
        <v>23.4</v>
      </c>
      <c r="EW27" s="11">
        <f t="shared" si="281"/>
        <v>8</v>
      </c>
      <c r="EX27" s="11">
        <f t="shared" si="278"/>
        <v>198</v>
      </c>
      <c r="EY27" s="11">
        <f t="shared" si="282"/>
        <v>139</v>
      </c>
      <c r="EZ27" s="15">
        <f t="shared" si="283"/>
        <v>0.38671875</v>
      </c>
      <c r="FA27" s="15">
        <f t="shared" si="284"/>
        <v>0.271484375</v>
      </c>
      <c r="FB27" s="11">
        <f t="shared" si="288"/>
        <v>105</v>
      </c>
    </row>
    <row r="28" spans="1:158" x14ac:dyDescent="0.15">
      <c r="CR28" s="13"/>
      <c r="CS28" s="13"/>
      <c r="CT28" s="13"/>
      <c r="CU28" s="13"/>
      <c r="CV28" s="13"/>
      <c r="CW28" s="13"/>
      <c r="CX28" s="13"/>
      <c r="CY28" s="13"/>
      <c r="CZ28" s="13"/>
      <c r="DA28" s="13"/>
      <c r="DB28" s="13"/>
      <c r="DC28" s="13"/>
      <c r="DD28" s="13"/>
      <c r="DE28" s="13"/>
      <c r="DF28" s="13"/>
      <c r="DG28" s="13"/>
      <c r="DH28" s="13"/>
      <c r="DI28" s="13"/>
      <c r="DJ28" s="13"/>
      <c r="DK28" s="13"/>
      <c r="DL28" s="13"/>
      <c r="DM28" s="13"/>
      <c r="DN28" s="13"/>
      <c r="DO28" s="13"/>
      <c r="DP28" s="13"/>
      <c r="DQ28" s="13"/>
      <c r="DX28" s="31">
        <f>DX27</f>
        <v>2035</v>
      </c>
      <c r="DY28" s="6" t="s">
        <v>23</v>
      </c>
      <c r="DZ28" s="17">
        <f>DZ26+DZ27</f>
        <v>42</v>
      </c>
      <c r="EA28" s="17">
        <f t="shared" ref="EA28:ET28" si="293">EA26+EA27</f>
        <v>42</v>
      </c>
      <c r="EB28" s="17">
        <f t="shared" si="293"/>
        <v>22</v>
      </c>
      <c r="EC28" s="17">
        <f t="shared" si="293"/>
        <v>20</v>
      </c>
      <c r="ED28" s="17">
        <f t="shared" si="293"/>
        <v>17</v>
      </c>
      <c r="EE28" s="17">
        <f t="shared" si="293"/>
        <v>37</v>
      </c>
      <c r="EF28" s="17">
        <f t="shared" si="293"/>
        <v>60</v>
      </c>
      <c r="EG28" s="17">
        <f t="shared" si="293"/>
        <v>89</v>
      </c>
      <c r="EH28" s="17">
        <f t="shared" si="293"/>
        <v>68</v>
      </c>
      <c r="EI28" s="17">
        <f t="shared" si="293"/>
        <v>54</v>
      </c>
      <c r="EJ28" s="17">
        <f t="shared" si="293"/>
        <v>40</v>
      </c>
      <c r="EK28" s="17">
        <f t="shared" si="293"/>
        <v>49</v>
      </c>
      <c r="EL28" s="17">
        <f t="shared" si="293"/>
        <v>52</v>
      </c>
      <c r="EM28" s="17">
        <f t="shared" si="293"/>
        <v>53</v>
      </c>
      <c r="EN28" s="17">
        <f t="shared" si="293"/>
        <v>58</v>
      </c>
      <c r="EO28" s="17">
        <f t="shared" si="293"/>
        <v>69</v>
      </c>
      <c r="EP28" s="17">
        <f t="shared" si="293"/>
        <v>71</v>
      </c>
      <c r="EQ28" s="17">
        <f t="shared" si="293"/>
        <v>55</v>
      </c>
      <c r="ER28" s="17">
        <f t="shared" si="293"/>
        <v>30</v>
      </c>
      <c r="ES28" s="17">
        <f t="shared" si="293"/>
        <v>6</v>
      </c>
      <c r="ET28" s="17">
        <f t="shared" si="293"/>
        <v>0</v>
      </c>
      <c r="EU28" s="12">
        <f t="shared" si="287"/>
        <v>934</v>
      </c>
      <c r="EV28" s="12">
        <f t="shared" si="280"/>
        <v>38.4</v>
      </c>
      <c r="EW28" s="12">
        <f t="shared" si="281"/>
        <v>12.8</v>
      </c>
      <c r="EX28" s="12">
        <f t="shared" si="278"/>
        <v>342</v>
      </c>
      <c r="EY28" s="12">
        <f t="shared" si="282"/>
        <v>231</v>
      </c>
      <c r="EZ28" s="16">
        <f t="shared" si="283"/>
        <v>0.36616702355460384</v>
      </c>
      <c r="FA28" s="16">
        <f t="shared" si="284"/>
        <v>0.24732334047109208</v>
      </c>
      <c r="FB28" s="12">
        <f t="shared" si="288"/>
        <v>203</v>
      </c>
    </row>
    <row r="29" spans="1:158" x14ac:dyDescent="0.15">
      <c r="CR29" s="13"/>
      <c r="CS29" s="13"/>
      <c r="CT29" s="13"/>
      <c r="CU29" s="13"/>
      <c r="CV29" s="13"/>
      <c r="CW29" s="13"/>
      <c r="CX29" s="13"/>
      <c r="CY29" s="13"/>
      <c r="CZ29" s="13"/>
      <c r="DA29" s="13"/>
      <c r="DB29" s="13"/>
      <c r="DC29" s="13"/>
      <c r="DD29" s="13"/>
      <c r="DE29" s="13"/>
      <c r="DF29" s="13"/>
      <c r="DG29" s="13"/>
      <c r="DH29" s="13"/>
      <c r="DI29" s="13"/>
      <c r="DJ29" s="13"/>
      <c r="DK29" s="13"/>
      <c r="DL29" s="13"/>
      <c r="DM29" s="13"/>
      <c r="DN29" s="13"/>
      <c r="DO29" s="13"/>
      <c r="DP29" s="13"/>
      <c r="DQ29" s="13"/>
      <c r="DX29" s="29">
        <f>DX12</f>
        <v>2040</v>
      </c>
      <c r="DY29" s="4" t="s">
        <v>21</v>
      </c>
      <c r="DZ29" s="10">
        <f t="shared" ref="DZ29:ET29" si="294">ROUND(DZ12,0)</f>
        <v>18</v>
      </c>
      <c r="EA29" s="10">
        <f t="shared" si="294"/>
        <v>18</v>
      </c>
      <c r="EB29" s="10">
        <f t="shared" si="294"/>
        <v>16</v>
      </c>
      <c r="EC29" s="10">
        <f t="shared" si="294"/>
        <v>6</v>
      </c>
      <c r="ED29" s="10">
        <f t="shared" si="294"/>
        <v>4</v>
      </c>
      <c r="EE29" s="10">
        <f t="shared" si="294"/>
        <v>18</v>
      </c>
      <c r="EF29" s="10">
        <f t="shared" si="294"/>
        <v>29</v>
      </c>
      <c r="EG29" s="10">
        <f t="shared" si="294"/>
        <v>42</v>
      </c>
      <c r="EH29" s="10">
        <f t="shared" si="294"/>
        <v>43</v>
      </c>
      <c r="EI29" s="10">
        <f t="shared" si="294"/>
        <v>35</v>
      </c>
      <c r="EJ29" s="10">
        <f t="shared" si="294"/>
        <v>28</v>
      </c>
      <c r="EK29" s="10">
        <f t="shared" si="294"/>
        <v>21</v>
      </c>
      <c r="EL29" s="10">
        <f t="shared" si="294"/>
        <v>22</v>
      </c>
      <c r="EM29" s="10">
        <f t="shared" si="294"/>
        <v>21</v>
      </c>
      <c r="EN29" s="10">
        <f t="shared" si="294"/>
        <v>24</v>
      </c>
      <c r="EO29" s="10">
        <f t="shared" si="294"/>
        <v>24</v>
      </c>
      <c r="EP29" s="10">
        <f t="shared" si="294"/>
        <v>25</v>
      </c>
      <c r="EQ29" s="10">
        <f t="shared" si="294"/>
        <v>21</v>
      </c>
      <c r="ER29" s="10">
        <f t="shared" si="294"/>
        <v>10</v>
      </c>
      <c r="ES29" s="10">
        <f t="shared" si="294"/>
        <v>0</v>
      </c>
      <c r="ET29" s="10">
        <f t="shared" si="294"/>
        <v>0</v>
      </c>
      <c r="EU29" s="10">
        <f t="shared" si="287"/>
        <v>425</v>
      </c>
      <c r="EV29" s="10">
        <f t="shared" si="280"/>
        <v>20.399999999999999</v>
      </c>
      <c r="EW29" s="10">
        <f t="shared" si="281"/>
        <v>7.6000000000000005</v>
      </c>
      <c r="EX29" s="10">
        <f t="shared" si="278"/>
        <v>125</v>
      </c>
      <c r="EY29" s="10">
        <f t="shared" si="282"/>
        <v>80</v>
      </c>
      <c r="EZ29" s="14">
        <f t="shared" si="283"/>
        <v>0.29411764705882354</v>
      </c>
      <c r="FA29" s="14">
        <f t="shared" si="284"/>
        <v>0.18823529411764706</v>
      </c>
      <c r="FB29" s="10">
        <f t="shared" si="288"/>
        <v>93</v>
      </c>
    </row>
    <row r="30" spans="1:158" x14ac:dyDescent="0.15">
      <c r="CR30" s="13"/>
      <c r="CS30" s="13"/>
      <c r="CT30" s="13"/>
      <c r="CU30" s="13"/>
      <c r="CV30" s="13"/>
      <c r="CW30" s="13"/>
      <c r="CX30" s="13"/>
      <c r="CY30" s="13"/>
      <c r="CZ30" s="13"/>
      <c r="DA30" s="13"/>
      <c r="DB30" s="13"/>
      <c r="DC30" s="13"/>
      <c r="DD30" s="13"/>
      <c r="DE30" s="13"/>
      <c r="DF30" s="13"/>
      <c r="DG30" s="13"/>
      <c r="DH30" s="13"/>
      <c r="DI30" s="13"/>
      <c r="DJ30" s="13"/>
      <c r="DK30" s="13"/>
      <c r="DL30" s="13"/>
      <c r="DM30" s="13"/>
      <c r="DN30" s="13"/>
      <c r="DO30" s="13"/>
      <c r="DP30" s="13"/>
      <c r="DQ30" s="13"/>
      <c r="DX30" s="30">
        <f>DX29</f>
        <v>2040</v>
      </c>
      <c r="DY30" s="5" t="s">
        <v>22</v>
      </c>
      <c r="DZ30" s="11">
        <f t="shared" ref="DZ30:ET30" si="295">ROUND(DZ13,0)</f>
        <v>22</v>
      </c>
      <c r="EA30" s="11">
        <f t="shared" si="295"/>
        <v>27</v>
      </c>
      <c r="EB30" s="11">
        <f t="shared" si="295"/>
        <v>29</v>
      </c>
      <c r="EC30" s="11">
        <f t="shared" si="295"/>
        <v>10</v>
      </c>
      <c r="ED30" s="11">
        <f t="shared" si="295"/>
        <v>8</v>
      </c>
      <c r="EE30" s="11">
        <f t="shared" si="295"/>
        <v>19</v>
      </c>
      <c r="EF30" s="11">
        <f t="shared" si="295"/>
        <v>30</v>
      </c>
      <c r="EG30" s="11">
        <f t="shared" si="295"/>
        <v>41</v>
      </c>
      <c r="EH30" s="11">
        <f t="shared" si="295"/>
        <v>48</v>
      </c>
      <c r="EI30" s="11">
        <f t="shared" si="295"/>
        <v>36</v>
      </c>
      <c r="EJ30" s="11">
        <f t="shared" si="295"/>
        <v>25</v>
      </c>
      <c r="EK30" s="11">
        <f t="shared" si="295"/>
        <v>19</v>
      </c>
      <c r="EL30" s="11">
        <f t="shared" si="295"/>
        <v>26</v>
      </c>
      <c r="EM30" s="11">
        <f t="shared" si="295"/>
        <v>30</v>
      </c>
      <c r="EN30" s="11">
        <f t="shared" si="295"/>
        <v>26</v>
      </c>
      <c r="EO30" s="11">
        <f t="shared" si="295"/>
        <v>30</v>
      </c>
      <c r="EP30" s="11">
        <f t="shared" si="295"/>
        <v>35</v>
      </c>
      <c r="EQ30" s="11">
        <f t="shared" si="295"/>
        <v>34</v>
      </c>
      <c r="ER30" s="11">
        <f t="shared" si="295"/>
        <v>21</v>
      </c>
      <c r="ES30" s="11">
        <f t="shared" si="295"/>
        <v>7</v>
      </c>
      <c r="ET30" s="11">
        <f t="shared" si="295"/>
        <v>0</v>
      </c>
      <c r="EU30" s="11">
        <f t="shared" si="287"/>
        <v>523</v>
      </c>
      <c r="EV30" s="11">
        <f t="shared" si="280"/>
        <v>33.599999999999994</v>
      </c>
      <c r="EW30" s="11">
        <f t="shared" si="281"/>
        <v>13.6</v>
      </c>
      <c r="EX30" s="11">
        <f t="shared" si="278"/>
        <v>183</v>
      </c>
      <c r="EY30" s="11">
        <f t="shared" si="282"/>
        <v>127</v>
      </c>
      <c r="EZ30" s="15">
        <f t="shared" si="283"/>
        <v>0.34990439770554493</v>
      </c>
      <c r="FA30" s="15">
        <f t="shared" si="284"/>
        <v>0.24282982791586999</v>
      </c>
      <c r="FB30" s="11">
        <f t="shared" si="288"/>
        <v>98</v>
      </c>
    </row>
    <row r="31" spans="1:158" ht="12.95" customHeight="1" x14ac:dyDescent="0.15">
      <c r="CR31" s="13"/>
      <c r="CS31" s="13"/>
      <c r="CT31" s="13"/>
      <c r="CU31" s="13"/>
      <c r="CV31" s="13"/>
      <c r="CW31" s="13"/>
      <c r="CX31" s="13"/>
      <c r="CY31" s="13"/>
      <c r="CZ31" s="13"/>
      <c r="DA31" s="13"/>
      <c r="DB31" s="13"/>
      <c r="DC31" s="13"/>
      <c r="DD31" s="13"/>
      <c r="DE31" s="13"/>
      <c r="DF31" s="13"/>
      <c r="DG31" s="13"/>
      <c r="DH31" s="13"/>
      <c r="DI31" s="13"/>
      <c r="DJ31" s="13"/>
      <c r="DK31" s="13"/>
      <c r="DL31" s="13"/>
      <c r="DM31" s="13"/>
      <c r="DN31" s="13"/>
      <c r="DO31" s="13"/>
      <c r="DP31" s="13"/>
      <c r="DQ31" s="13"/>
      <c r="DX31" s="31">
        <f>DX30</f>
        <v>2040</v>
      </c>
      <c r="DY31" s="6" t="s">
        <v>23</v>
      </c>
      <c r="DZ31" s="17">
        <f>DZ29+DZ30</f>
        <v>40</v>
      </c>
      <c r="EA31" s="17">
        <f t="shared" ref="EA31:ET31" si="296">EA29+EA30</f>
        <v>45</v>
      </c>
      <c r="EB31" s="17">
        <f t="shared" si="296"/>
        <v>45</v>
      </c>
      <c r="EC31" s="17">
        <f t="shared" si="296"/>
        <v>16</v>
      </c>
      <c r="ED31" s="17">
        <f t="shared" si="296"/>
        <v>12</v>
      </c>
      <c r="EE31" s="17">
        <f t="shared" si="296"/>
        <v>37</v>
      </c>
      <c r="EF31" s="17">
        <f t="shared" si="296"/>
        <v>59</v>
      </c>
      <c r="EG31" s="17">
        <f t="shared" si="296"/>
        <v>83</v>
      </c>
      <c r="EH31" s="17">
        <f t="shared" si="296"/>
        <v>91</v>
      </c>
      <c r="EI31" s="17">
        <f t="shared" si="296"/>
        <v>71</v>
      </c>
      <c r="EJ31" s="17">
        <f t="shared" si="296"/>
        <v>53</v>
      </c>
      <c r="EK31" s="17">
        <f t="shared" si="296"/>
        <v>40</v>
      </c>
      <c r="EL31" s="17">
        <f t="shared" si="296"/>
        <v>48</v>
      </c>
      <c r="EM31" s="17">
        <f t="shared" si="296"/>
        <v>51</v>
      </c>
      <c r="EN31" s="17">
        <f t="shared" si="296"/>
        <v>50</v>
      </c>
      <c r="EO31" s="17">
        <f t="shared" si="296"/>
        <v>54</v>
      </c>
      <c r="EP31" s="17">
        <f t="shared" si="296"/>
        <v>60</v>
      </c>
      <c r="EQ31" s="17">
        <f t="shared" si="296"/>
        <v>55</v>
      </c>
      <c r="ER31" s="17">
        <f t="shared" si="296"/>
        <v>31</v>
      </c>
      <c r="ES31" s="17">
        <f t="shared" si="296"/>
        <v>7</v>
      </c>
      <c r="ET31" s="17">
        <f t="shared" si="296"/>
        <v>0</v>
      </c>
      <c r="EU31" s="12">
        <f t="shared" si="287"/>
        <v>948</v>
      </c>
      <c r="EV31" s="12">
        <f t="shared" si="280"/>
        <v>54</v>
      </c>
      <c r="EW31" s="12">
        <f t="shared" si="281"/>
        <v>21.2</v>
      </c>
      <c r="EX31" s="12">
        <f t="shared" si="278"/>
        <v>308</v>
      </c>
      <c r="EY31" s="12">
        <f t="shared" si="282"/>
        <v>207</v>
      </c>
      <c r="EZ31" s="16">
        <f t="shared" si="283"/>
        <v>0.32489451476793246</v>
      </c>
      <c r="FA31" s="16">
        <f t="shared" si="284"/>
        <v>0.21835443037974683</v>
      </c>
      <c r="FB31" s="12">
        <f t="shared" si="288"/>
        <v>191</v>
      </c>
    </row>
    <row r="32" spans="1:158" ht="12.95" customHeight="1" x14ac:dyDescent="0.15">
      <c r="CR32" s="13"/>
      <c r="CS32" s="13"/>
      <c r="CT32" s="13"/>
      <c r="CU32" s="13"/>
      <c r="CV32" s="13"/>
      <c r="CW32" s="13"/>
      <c r="CX32" s="13"/>
      <c r="CY32" s="13"/>
      <c r="CZ32" s="13"/>
      <c r="DA32" s="13"/>
      <c r="DB32" s="13"/>
      <c r="DC32" s="13"/>
      <c r="DD32" s="13"/>
      <c r="DE32" s="13"/>
      <c r="DF32" s="13"/>
      <c r="DG32" s="13"/>
      <c r="DH32" s="13"/>
      <c r="DI32" s="13"/>
      <c r="DJ32" s="13"/>
      <c r="DK32" s="13"/>
      <c r="DL32" s="13"/>
      <c r="DM32" s="13"/>
      <c r="DN32" s="13"/>
      <c r="DO32" s="13"/>
      <c r="DP32" s="13"/>
      <c r="DQ32" s="13"/>
      <c r="DX32" s="58"/>
      <c r="DY32" s="3"/>
      <c r="DZ32" s="13"/>
      <c r="EA32" s="13"/>
      <c r="EB32" s="13"/>
      <c r="EC32" s="13"/>
      <c r="ED32" s="13"/>
      <c r="EE32" s="13"/>
      <c r="EF32" s="13"/>
      <c r="EG32" s="13"/>
      <c r="EH32" s="13"/>
      <c r="EI32" s="13"/>
      <c r="EJ32" s="13"/>
      <c r="EK32" s="13"/>
      <c r="EL32" s="13"/>
      <c r="EM32" s="13"/>
      <c r="EN32" s="13"/>
      <c r="EO32" s="13"/>
      <c r="EP32" s="13"/>
      <c r="EQ32" s="13"/>
      <c r="ER32" s="13"/>
      <c r="ES32" s="13"/>
      <c r="ET32" s="13"/>
      <c r="EU32" s="13"/>
      <c r="EV32" s="13"/>
      <c r="EW32" s="13"/>
      <c r="EX32" s="13"/>
      <c r="EY32" s="13"/>
      <c r="EZ32" s="59"/>
      <c r="FA32" s="59"/>
      <c r="FB32" s="13"/>
    </row>
    <row r="33" spans="96:121" x14ac:dyDescent="0.15">
      <c r="CR33" s="13"/>
      <c r="CS33" s="13"/>
      <c r="CT33" s="13"/>
      <c r="CU33" s="13"/>
      <c r="CV33" s="13"/>
      <c r="CW33" s="13"/>
      <c r="CX33" s="13"/>
      <c r="CY33" s="13"/>
      <c r="CZ33" s="13"/>
      <c r="DA33" s="13"/>
      <c r="DB33" s="13"/>
      <c r="DC33" s="13"/>
      <c r="DD33" s="13"/>
      <c r="DE33" s="13"/>
      <c r="DF33" s="13"/>
      <c r="DG33" s="13"/>
      <c r="DH33" s="13"/>
      <c r="DI33" s="13"/>
      <c r="DJ33" s="13"/>
      <c r="DK33" s="13"/>
      <c r="DL33" s="13"/>
      <c r="DM33" s="13"/>
      <c r="DN33" s="13"/>
      <c r="DO33" s="13"/>
      <c r="DP33" s="13"/>
      <c r="DQ33" s="13"/>
    </row>
    <row r="34" spans="96:121" x14ac:dyDescent="0.15">
      <c r="CR34" s="13"/>
      <c r="CS34" s="13"/>
      <c r="CT34" s="13"/>
      <c r="CU34" s="13"/>
      <c r="CV34" s="13"/>
      <c r="CW34" s="13"/>
      <c r="CX34" s="13"/>
      <c r="CY34" s="13"/>
      <c r="CZ34" s="13"/>
      <c r="DA34" s="13"/>
      <c r="DB34" s="13"/>
      <c r="DC34" s="13"/>
      <c r="DD34" s="13"/>
      <c r="DE34" s="13"/>
      <c r="DF34" s="13"/>
      <c r="DG34" s="13"/>
      <c r="DH34" s="13"/>
      <c r="DI34" s="13"/>
      <c r="DJ34" s="13"/>
      <c r="DK34" s="13"/>
      <c r="DL34" s="13"/>
      <c r="DM34" s="13"/>
      <c r="DN34" s="13"/>
      <c r="DO34" s="13"/>
      <c r="DP34" s="13"/>
      <c r="DQ34" s="13"/>
    </row>
    <row r="35" spans="96:121" ht="14.1" customHeight="1" x14ac:dyDescent="0.15">
      <c r="CR35" s="13"/>
      <c r="CS35" s="13"/>
      <c r="CT35" s="13"/>
      <c r="CU35" s="13"/>
      <c r="CV35" s="13"/>
      <c r="CW35" s="13"/>
      <c r="CX35" s="13"/>
      <c r="CY35" s="13"/>
      <c r="CZ35" s="13"/>
      <c r="DA35" s="13"/>
      <c r="DB35" s="13"/>
      <c r="DC35" s="13"/>
      <c r="DD35" s="13"/>
      <c r="DE35" s="13"/>
      <c r="DF35" s="13"/>
      <c r="DG35" s="13"/>
      <c r="DH35" s="13"/>
      <c r="DI35" s="13"/>
      <c r="DJ35" s="13"/>
      <c r="DK35" s="13"/>
      <c r="DL35" s="13"/>
      <c r="DM35" s="13"/>
      <c r="DN35" s="13"/>
      <c r="DO35" s="13"/>
      <c r="DP35" s="13"/>
      <c r="DQ35" s="13"/>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70" t="s">
        <v>104</v>
      </c>
      <c r="G1" s="70" t="s">
        <v>105</v>
      </c>
      <c r="N1" s="70" t="s">
        <v>118</v>
      </c>
    </row>
    <row r="2" spans="1:21" x14ac:dyDescent="0.15">
      <c r="A2" s="74" t="s">
        <v>63</v>
      </c>
      <c r="G2" s="74" t="s">
        <v>63</v>
      </c>
      <c r="N2" s="74" t="s">
        <v>63</v>
      </c>
      <c r="P2" s="2" t="s">
        <v>120</v>
      </c>
      <c r="S2" s="2" t="s">
        <v>119</v>
      </c>
    </row>
    <row r="3" spans="1:21" x14ac:dyDescent="0.15">
      <c r="A3" s="74"/>
      <c r="C3" s="60" t="s">
        <v>377</v>
      </c>
      <c r="D3" s="60" t="s">
        <v>378</v>
      </c>
      <c r="E3" s="60" t="s">
        <v>379</v>
      </c>
      <c r="G3" s="74"/>
      <c r="I3" s="60" t="s">
        <v>391</v>
      </c>
      <c r="J3" s="60" t="s">
        <v>392</v>
      </c>
      <c r="K3" s="60" t="s">
        <v>393</v>
      </c>
      <c r="N3" s="74"/>
      <c r="P3" s="60" t="s">
        <v>21</v>
      </c>
      <c r="Q3" s="60" t="s">
        <v>22</v>
      </c>
      <c r="R3" s="60" t="s">
        <v>379</v>
      </c>
      <c r="S3" s="60" t="s">
        <v>21</v>
      </c>
      <c r="T3" s="60" t="s">
        <v>22</v>
      </c>
      <c r="U3" s="60" t="s">
        <v>379</v>
      </c>
    </row>
    <row r="4" spans="1:21" x14ac:dyDescent="0.15">
      <c r="A4" s="1" t="s">
        <v>58</v>
      </c>
      <c r="B4" s="1">
        <f>管理者入力シート!B7</f>
        <v>2010</v>
      </c>
      <c r="C4" s="18">
        <f>SUM(B41:B61)</f>
        <v>529</v>
      </c>
      <c r="D4" s="18">
        <f>SUM(C41:C61)</f>
        <v>586</v>
      </c>
      <c r="E4" s="18">
        <f>C4+D4</f>
        <v>1115</v>
      </c>
      <c r="F4" s="91"/>
      <c r="G4" s="1" t="s">
        <v>58</v>
      </c>
      <c r="H4" s="1">
        <f>B4</f>
        <v>2010</v>
      </c>
      <c r="I4" s="18">
        <f>C4</f>
        <v>529</v>
      </c>
      <c r="J4" s="18">
        <f>D4</f>
        <v>586</v>
      </c>
      <c r="K4" s="18">
        <f>I4+J4</f>
        <v>1115</v>
      </c>
      <c r="N4" s="1" t="s">
        <v>58</v>
      </c>
      <c r="O4" s="1">
        <f>H4</f>
        <v>2010</v>
      </c>
      <c r="P4" s="18">
        <f>I4</f>
        <v>529</v>
      </c>
      <c r="Q4" s="18">
        <f t="shared" ref="Q4:R4" si="0">J4</f>
        <v>586</v>
      </c>
      <c r="R4" s="18">
        <f t="shared" si="0"/>
        <v>1115</v>
      </c>
      <c r="S4" s="1"/>
      <c r="T4" s="1"/>
      <c r="U4" s="1"/>
    </row>
    <row r="5" spans="1:21" x14ac:dyDescent="0.15">
      <c r="A5" s="1" t="s">
        <v>61</v>
      </c>
      <c r="B5" s="1">
        <f>管理者入力シート!B6</f>
        <v>2015</v>
      </c>
      <c r="C5" s="18">
        <f>SUM(B65:B85)</f>
        <v>483</v>
      </c>
      <c r="D5" s="18">
        <f>SUM(C65:C85)</f>
        <v>557</v>
      </c>
      <c r="E5" s="18">
        <f t="shared" ref="E5" si="1">C5+D5</f>
        <v>1040</v>
      </c>
      <c r="F5" s="91"/>
      <c r="G5" s="1" t="s">
        <v>57</v>
      </c>
      <c r="H5" s="1">
        <f t="shared" ref="H5:H6" si="2">B5</f>
        <v>2015</v>
      </c>
      <c r="I5" s="18">
        <f t="shared" ref="I5" si="3">C5</f>
        <v>483</v>
      </c>
      <c r="J5" s="18">
        <f>D5</f>
        <v>557</v>
      </c>
      <c r="K5" s="18">
        <f t="shared" ref="K5:K10" si="4">I5+J5</f>
        <v>1040</v>
      </c>
      <c r="N5" s="1" t="s">
        <v>57</v>
      </c>
      <c r="O5" s="1">
        <f t="shared" ref="O5:O10" si="5">H5</f>
        <v>2015</v>
      </c>
      <c r="P5" s="18">
        <f t="shared" ref="P5:P10" si="6">I5</f>
        <v>483</v>
      </c>
      <c r="Q5" s="18">
        <f t="shared" ref="Q5:Q10" si="7">J5</f>
        <v>557</v>
      </c>
      <c r="R5" s="18">
        <f t="shared" ref="R5:R10" si="8">K5</f>
        <v>1040</v>
      </c>
      <c r="S5" s="1"/>
      <c r="T5" s="1"/>
      <c r="U5" s="1"/>
    </row>
    <row r="6" spans="1:21" x14ac:dyDescent="0.15">
      <c r="A6" s="1" t="s">
        <v>62</v>
      </c>
      <c r="B6" s="1">
        <f>管理者入力シート!B5</f>
        <v>2020</v>
      </c>
      <c r="C6" s="18">
        <f>SUM(B89:B109)</f>
        <v>444</v>
      </c>
      <c r="D6" s="18">
        <f>SUM(C89:C109)</f>
        <v>512</v>
      </c>
      <c r="E6" s="18">
        <f>C6+D6</f>
        <v>956</v>
      </c>
      <c r="F6" s="91"/>
      <c r="G6" s="1" t="s">
        <v>62</v>
      </c>
      <c r="H6" s="1">
        <f t="shared" si="2"/>
        <v>2020</v>
      </c>
      <c r="I6" s="18">
        <f>C6</f>
        <v>444</v>
      </c>
      <c r="J6" s="18">
        <f>D6</f>
        <v>512</v>
      </c>
      <c r="K6" s="18">
        <f t="shared" si="4"/>
        <v>956</v>
      </c>
      <c r="N6" s="1" t="s">
        <v>62</v>
      </c>
      <c r="O6" s="1">
        <f t="shared" si="5"/>
        <v>2020</v>
      </c>
      <c r="P6" s="18">
        <f t="shared" si="6"/>
        <v>444</v>
      </c>
      <c r="Q6" s="18">
        <f t="shared" si="7"/>
        <v>512</v>
      </c>
      <c r="R6" s="18">
        <f t="shared" si="8"/>
        <v>956</v>
      </c>
      <c r="S6" s="1"/>
      <c r="T6" s="1"/>
      <c r="U6" s="1"/>
    </row>
    <row r="7" spans="1:21" x14ac:dyDescent="0.15">
      <c r="G7" s="1" t="s">
        <v>106</v>
      </c>
      <c r="H7" s="1">
        <f>管理者入力シート!B8</f>
        <v>2025</v>
      </c>
      <c r="I7" s="18">
        <f>SUM(H69:H89)</f>
        <v>393</v>
      </c>
      <c r="J7" s="18">
        <f>SUM(I69:I89)</f>
        <v>467</v>
      </c>
      <c r="K7" s="18">
        <f t="shared" si="4"/>
        <v>860</v>
      </c>
      <c r="N7" s="1" t="s">
        <v>106</v>
      </c>
      <c r="O7" s="1">
        <f t="shared" si="5"/>
        <v>2025</v>
      </c>
      <c r="P7" s="18">
        <f t="shared" si="6"/>
        <v>393</v>
      </c>
      <c r="Q7" s="18">
        <f t="shared" si="7"/>
        <v>467</v>
      </c>
      <c r="R7" s="18">
        <f t="shared" si="8"/>
        <v>860</v>
      </c>
      <c r="S7" s="257">
        <f>SUM(O69:O89)</f>
        <v>397</v>
      </c>
      <c r="T7" s="257">
        <f>SUM(P69:P89)</f>
        <v>472</v>
      </c>
      <c r="U7" s="257">
        <f>S7+T7</f>
        <v>869</v>
      </c>
    </row>
    <row r="8" spans="1:21" x14ac:dyDescent="0.15">
      <c r="A8" s="75" t="s">
        <v>71</v>
      </c>
      <c r="G8" s="1" t="s">
        <v>107</v>
      </c>
      <c r="H8" s="1">
        <f>管理者入力シート!B9</f>
        <v>2030</v>
      </c>
      <c r="I8" s="18">
        <f>SUM(H93:H113)</f>
        <v>343</v>
      </c>
      <c r="J8" s="18">
        <f>SUM(I93:I113)</f>
        <v>428</v>
      </c>
      <c r="K8" s="18">
        <f t="shared" si="4"/>
        <v>771</v>
      </c>
      <c r="N8" s="1" t="s">
        <v>107</v>
      </c>
      <c r="O8" s="1">
        <f t="shared" si="5"/>
        <v>2030</v>
      </c>
      <c r="P8" s="18">
        <f t="shared" si="6"/>
        <v>343</v>
      </c>
      <c r="Q8" s="18">
        <f t="shared" si="7"/>
        <v>428</v>
      </c>
      <c r="R8" s="18">
        <f t="shared" si="8"/>
        <v>771</v>
      </c>
      <c r="S8" s="257">
        <f>SUM(O93:O113)</f>
        <v>351</v>
      </c>
      <c r="T8" s="257">
        <f>SUM(P93:P113)</f>
        <v>439</v>
      </c>
      <c r="U8" s="257">
        <f t="shared" ref="U8:U10" si="9">S8+T8</f>
        <v>790</v>
      </c>
    </row>
    <row r="9" spans="1:21" x14ac:dyDescent="0.15">
      <c r="A9" s="2" t="s">
        <v>72</v>
      </c>
      <c r="G9" s="1" t="s">
        <v>108</v>
      </c>
      <c r="H9" s="1">
        <f>管理者入力シート!B10</f>
        <v>2035</v>
      </c>
      <c r="I9" s="18">
        <f>SUM(H117:H137)</f>
        <v>299</v>
      </c>
      <c r="J9" s="18">
        <f>SUM(I117:I137)</f>
        <v>383</v>
      </c>
      <c r="K9" s="18">
        <f t="shared" si="4"/>
        <v>682</v>
      </c>
      <c r="N9" s="1" t="s">
        <v>108</v>
      </c>
      <c r="O9" s="1">
        <f t="shared" si="5"/>
        <v>2035</v>
      </c>
      <c r="P9" s="18">
        <f t="shared" si="6"/>
        <v>299</v>
      </c>
      <c r="Q9" s="18">
        <f t="shared" si="7"/>
        <v>383</v>
      </c>
      <c r="R9" s="18">
        <f t="shared" si="8"/>
        <v>682</v>
      </c>
      <c r="S9" s="257">
        <f>SUM(O117:O137)</f>
        <v>312</v>
      </c>
      <c r="T9" s="257">
        <f>SUM(P117:P137)</f>
        <v>399</v>
      </c>
      <c r="U9" s="257">
        <f t="shared" si="9"/>
        <v>711</v>
      </c>
    </row>
    <row r="10" spans="1:21" x14ac:dyDescent="0.15">
      <c r="A10" s="1" t="s">
        <v>58</v>
      </c>
      <c r="B10" s="1">
        <f>B4</f>
        <v>2010</v>
      </c>
      <c r="C10" s="18">
        <f>ROUND(VLOOKUP(B10&amp;"_3",管理者用人口入力シート!A:AA,26,FALSE),0)</f>
        <v>61</v>
      </c>
      <c r="D10" s="13"/>
      <c r="E10" s="13"/>
      <c r="G10" s="1" t="s">
        <v>109</v>
      </c>
      <c r="H10" s="1">
        <f>管理者入力シート!B11</f>
        <v>2040</v>
      </c>
      <c r="I10" s="18">
        <f>SUM(H141:H161)</f>
        <v>256</v>
      </c>
      <c r="J10" s="18">
        <f>SUM(I141:I161)</f>
        <v>338</v>
      </c>
      <c r="K10" s="18">
        <f t="shared" si="4"/>
        <v>594</v>
      </c>
      <c r="N10" s="1" t="s">
        <v>109</v>
      </c>
      <c r="O10" s="1">
        <f t="shared" si="5"/>
        <v>2040</v>
      </c>
      <c r="P10" s="18">
        <f t="shared" si="6"/>
        <v>256</v>
      </c>
      <c r="Q10" s="18">
        <f t="shared" si="7"/>
        <v>338</v>
      </c>
      <c r="R10" s="18">
        <f t="shared" si="8"/>
        <v>594</v>
      </c>
      <c r="S10" s="257">
        <f>SUM(O141:O161)</f>
        <v>274</v>
      </c>
      <c r="T10" s="257">
        <f>SUM(P141:P161)</f>
        <v>363</v>
      </c>
      <c r="U10" s="257">
        <f t="shared" si="9"/>
        <v>637</v>
      </c>
    </row>
    <row r="11" spans="1:21" x14ac:dyDescent="0.15">
      <c r="A11" s="1" t="s">
        <v>61</v>
      </c>
      <c r="B11" s="1">
        <f t="shared" ref="B11:B12" si="10">B5</f>
        <v>2015</v>
      </c>
      <c r="C11" s="18">
        <f>ROUND(VLOOKUP(B11&amp;"_3",管理者用人口入力シート!A:AA,26,FALSE),0)</f>
        <v>50</v>
      </c>
      <c r="D11" s="13"/>
      <c r="E11" s="13"/>
      <c r="G11" s="3"/>
      <c r="H11" s="3"/>
      <c r="I11" s="13"/>
      <c r="J11" s="13"/>
      <c r="K11" s="13"/>
      <c r="N11" s="3"/>
      <c r="O11" s="3"/>
      <c r="P11" s="13"/>
    </row>
    <row r="12" spans="1:21" x14ac:dyDescent="0.15">
      <c r="A12" s="1" t="s">
        <v>62</v>
      </c>
      <c r="B12" s="1">
        <f t="shared" si="10"/>
        <v>2020</v>
      </c>
      <c r="C12" s="18">
        <f>ROUND(VLOOKUP(B12&amp;"_3",管理者用人口入力シート!A:AA,26,FALSE),0)</f>
        <v>45</v>
      </c>
      <c r="D12" s="13"/>
      <c r="E12" s="13"/>
      <c r="G12" s="75" t="s">
        <v>71</v>
      </c>
      <c r="N12" s="75" t="s">
        <v>71</v>
      </c>
    </row>
    <row r="13" spans="1:21" x14ac:dyDescent="0.15">
      <c r="A13" s="2" t="s">
        <v>73</v>
      </c>
      <c r="G13" s="71" t="s">
        <v>72</v>
      </c>
      <c r="H13" s="71"/>
      <c r="I13" s="72"/>
      <c r="J13" s="13"/>
      <c r="K13" s="13"/>
      <c r="N13" s="71" t="s">
        <v>72</v>
      </c>
      <c r="O13" s="71"/>
      <c r="P13" s="2" t="s">
        <v>120</v>
      </c>
      <c r="Q13" s="2" t="s">
        <v>119</v>
      </c>
    </row>
    <row r="14" spans="1:21" x14ac:dyDescent="0.15">
      <c r="A14" s="1" t="s">
        <v>58</v>
      </c>
      <c r="B14" s="1">
        <f>B4</f>
        <v>2010</v>
      </c>
      <c r="C14" s="18">
        <f>ROUND(VLOOKUP(B14&amp;"_3",管理者用人口入力シート!A:AA,27,FALSE),0)</f>
        <v>30</v>
      </c>
      <c r="D14" s="13"/>
      <c r="E14" s="13"/>
      <c r="G14" s="1" t="s">
        <v>58</v>
      </c>
      <c r="H14" s="1">
        <f>H4</f>
        <v>2010</v>
      </c>
      <c r="I14" s="18">
        <f>C10</f>
        <v>61</v>
      </c>
      <c r="J14" s="13"/>
      <c r="K14" s="13"/>
      <c r="N14" s="1" t="s">
        <v>58</v>
      </c>
      <c r="O14" s="1">
        <f>O4</f>
        <v>2010</v>
      </c>
      <c r="P14" s="18">
        <f>I14</f>
        <v>61</v>
      </c>
      <c r="Q14" s="18"/>
    </row>
    <row r="15" spans="1:21" x14ac:dyDescent="0.15">
      <c r="A15" s="1" t="s">
        <v>61</v>
      </c>
      <c r="B15" s="1">
        <f t="shared" ref="B15:B16" si="11">B5</f>
        <v>2015</v>
      </c>
      <c r="C15" s="18">
        <f>ROUND(VLOOKUP(B15&amp;"_3",管理者用人口入力シート!A:AA,27,FALSE),0)</f>
        <v>28</v>
      </c>
      <c r="D15" s="13"/>
      <c r="E15" s="13"/>
      <c r="G15" s="1" t="s">
        <v>57</v>
      </c>
      <c r="H15" s="1">
        <f t="shared" ref="H15:H20" si="12">H5</f>
        <v>2015</v>
      </c>
      <c r="I15" s="18">
        <f>C11</f>
        <v>50</v>
      </c>
      <c r="J15" s="13"/>
      <c r="K15" s="13"/>
      <c r="N15" s="1" t="s">
        <v>57</v>
      </c>
      <c r="O15" s="1">
        <f t="shared" ref="O15:O20" si="13">O5</f>
        <v>2015</v>
      </c>
      <c r="P15" s="18">
        <f t="shared" ref="P15:P20" si="14">I15</f>
        <v>50</v>
      </c>
      <c r="Q15" s="18"/>
    </row>
    <row r="16" spans="1:21" x14ac:dyDescent="0.15">
      <c r="A16" s="1" t="s">
        <v>62</v>
      </c>
      <c r="B16" s="1">
        <f t="shared" si="11"/>
        <v>2020</v>
      </c>
      <c r="C16" s="18">
        <f>ROUND(VLOOKUP(B16&amp;"_3",管理者用人口入力シート!A:AA,27,FALSE),0)</f>
        <v>23</v>
      </c>
      <c r="D16" s="13"/>
      <c r="E16" s="13"/>
      <c r="G16" s="1" t="s">
        <v>62</v>
      </c>
      <c r="H16" s="1">
        <f t="shared" si="12"/>
        <v>2020</v>
      </c>
      <c r="I16" s="18">
        <f>C12</f>
        <v>45</v>
      </c>
      <c r="J16" s="13"/>
      <c r="K16" s="13"/>
      <c r="N16" s="1" t="s">
        <v>62</v>
      </c>
      <c r="O16" s="1">
        <f t="shared" si="13"/>
        <v>2020</v>
      </c>
      <c r="P16" s="18">
        <f t="shared" si="14"/>
        <v>45</v>
      </c>
      <c r="Q16" s="18"/>
    </row>
    <row r="17" spans="1:17" x14ac:dyDescent="0.15">
      <c r="G17" s="1" t="s">
        <v>106</v>
      </c>
      <c r="H17" s="1">
        <f t="shared" si="12"/>
        <v>2025</v>
      </c>
      <c r="I17" s="18">
        <f>ROUND(VLOOKUP(H17&amp;"_3",管理者用人口入力シート!BH:CM,26,FALSE),0)</f>
        <v>37</v>
      </c>
      <c r="J17" s="13"/>
      <c r="K17" s="13"/>
      <c r="N17" s="1" t="s">
        <v>106</v>
      </c>
      <c r="O17" s="1">
        <f t="shared" si="13"/>
        <v>2025</v>
      </c>
      <c r="P17" s="18">
        <f t="shared" si="14"/>
        <v>37</v>
      </c>
      <c r="Q17" s="18">
        <f>ROUND(VLOOKUP(H17&amp;"_3",管理者用人口入力シート!CO:DT,26,FALSE),0)</f>
        <v>39</v>
      </c>
    </row>
    <row r="18" spans="1:17" x14ac:dyDescent="0.15">
      <c r="A18" s="75" t="s">
        <v>110</v>
      </c>
      <c r="G18" s="1" t="s">
        <v>107</v>
      </c>
      <c r="H18" s="1">
        <f t="shared" si="12"/>
        <v>2030</v>
      </c>
      <c r="I18" s="18">
        <f>ROUND(VLOOKUP(H18&amp;"_3",管理者用人口入力シート!BH:CM,26,FALSE),0)</f>
        <v>28</v>
      </c>
      <c r="J18" s="13"/>
      <c r="K18" s="13"/>
      <c r="N18" s="1" t="s">
        <v>107</v>
      </c>
      <c r="O18" s="1">
        <f t="shared" si="13"/>
        <v>2030</v>
      </c>
      <c r="P18" s="18">
        <f t="shared" si="14"/>
        <v>28</v>
      </c>
      <c r="Q18" s="18">
        <f>ROUND(VLOOKUP(H18&amp;"_3",管理者用人口入力シート!CO:DT,26,FALSE),0)</f>
        <v>30</v>
      </c>
    </row>
    <row r="19" spans="1:17" x14ac:dyDescent="0.15">
      <c r="A19" s="2" t="s">
        <v>84</v>
      </c>
      <c r="G19" s="1" t="s">
        <v>108</v>
      </c>
      <c r="H19" s="1">
        <f t="shared" si="12"/>
        <v>2035</v>
      </c>
      <c r="I19" s="18">
        <f>ROUND(VLOOKUP(H19&amp;"_3",管理者用人口入力シート!BH:CM,26,FALSE),0)</f>
        <v>24</v>
      </c>
      <c r="J19" s="13"/>
      <c r="K19" s="13"/>
      <c r="N19" s="1" t="s">
        <v>108</v>
      </c>
      <c r="O19" s="1">
        <f t="shared" si="13"/>
        <v>2035</v>
      </c>
      <c r="P19" s="18">
        <f t="shared" si="14"/>
        <v>24</v>
      </c>
      <c r="Q19" s="18">
        <f>ROUND(VLOOKUP(H19&amp;"_3",管理者用人口入力シート!CO:DT,26,FALSE),0)</f>
        <v>29</v>
      </c>
    </row>
    <row r="20" spans="1:17" x14ac:dyDescent="0.15">
      <c r="A20" s="1" t="s">
        <v>58</v>
      </c>
      <c r="B20" s="1">
        <f>B4</f>
        <v>2010</v>
      </c>
      <c r="C20" s="18">
        <f>SUM(B54:C61)</f>
        <v>373</v>
      </c>
      <c r="D20" s="13"/>
      <c r="E20" s="13"/>
      <c r="G20" s="1" t="s">
        <v>109</v>
      </c>
      <c r="H20" s="1">
        <f t="shared" si="12"/>
        <v>2040</v>
      </c>
      <c r="I20" s="18">
        <f>ROUND(VLOOKUP(H20&amp;"_3",管理者用人口入力シート!BH:CM,26,FALSE),0)</f>
        <v>22</v>
      </c>
      <c r="J20" s="13"/>
      <c r="K20" s="13"/>
      <c r="N20" s="1" t="s">
        <v>109</v>
      </c>
      <c r="O20" s="1">
        <f t="shared" si="13"/>
        <v>2040</v>
      </c>
      <c r="P20" s="18">
        <f t="shared" si="14"/>
        <v>22</v>
      </c>
      <c r="Q20" s="18">
        <f>ROUND(VLOOKUP(H20&amp;"_3",管理者用人口入力シート!CO:DT,26,FALSE),0)</f>
        <v>28</v>
      </c>
    </row>
    <row r="21" spans="1:17" x14ac:dyDescent="0.15">
      <c r="A21" s="1" t="s">
        <v>61</v>
      </c>
      <c r="B21" s="1">
        <f t="shared" ref="B21:B22" si="15">B5</f>
        <v>2015</v>
      </c>
      <c r="C21" s="18">
        <f>SUM(B78:C85)</f>
        <v>400</v>
      </c>
      <c r="D21" s="13"/>
      <c r="E21" s="13"/>
      <c r="G21" s="71" t="s">
        <v>73</v>
      </c>
      <c r="H21" s="71"/>
      <c r="I21" s="72"/>
      <c r="J21" s="13"/>
      <c r="K21" s="13"/>
      <c r="N21" s="71" t="s">
        <v>73</v>
      </c>
      <c r="O21" s="71"/>
      <c r="P21" s="2" t="s">
        <v>120</v>
      </c>
      <c r="Q21" s="2" t="s">
        <v>119</v>
      </c>
    </row>
    <row r="22" spans="1:17" x14ac:dyDescent="0.15">
      <c r="A22" s="1" t="s">
        <v>62</v>
      </c>
      <c r="B22" s="1">
        <f t="shared" si="15"/>
        <v>2020</v>
      </c>
      <c r="C22" s="18">
        <f>SUM(B102:C109)</f>
        <v>407</v>
      </c>
      <c r="D22" s="13"/>
      <c r="E22" s="13"/>
      <c r="G22" s="1" t="s">
        <v>58</v>
      </c>
      <c r="H22" s="1">
        <f>H4</f>
        <v>2010</v>
      </c>
      <c r="I22" s="18">
        <f>C14</f>
        <v>30</v>
      </c>
      <c r="J22" s="13"/>
      <c r="K22" s="13"/>
      <c r="N22" s="1" t="s">
        <v>58</v>
      </c>
      <c r="O22" s="1">
        <f>O4</f>
        <v>2010</v>
      </c>
      <c r="P22" s="18">
        <f>I22</f>
        <v>30</v>
      </c>
      <c r="Q22" s="18"/>
    </row>
    <row r="23" spans="1:17" x14ac:dyDescent="0.15">
      <c r="A23" s="2" t="s">
        <v>86</v>
      </c>
      <c r="G23" s="1" t="s">
        <v>57</v>
      </c>
      <c r="H23" s="1">
        <f t="shared" ref="H23:H28" si="16">H5</f>
        <v>2015</v>
      </c>
      <c r="I23" s="18">
        <f t="shared" ref="I23:I24" si="17">C15</f>
        <v>28</v>
      </c>
      <c r="J23" s="13"/>
      <c r="K23" s="13"/>
      <c r="N23" s="1" t="s">
        <v>57</v>
      </c>
      <c r="O23" s="1">
        <f t="shared" ref="O23:O28" si="18">O5</f>
        <v>2015</v>
      </c>
      <c r="P23" s="18">
        <f t="shared" ref="P23:P28" si="19">I23</f>
        <v>28</v>
      </c>
      <c r="Q23" s="18"/>
    </row>
    <row r="24" spans="1:17" x14ac:dyDescent="0.15">
      <c r="A24" s="1" t="s">
        <v>58</v>
      </c>
      <c r="B24" s="1">
        <f>B4</f>
        <v>2010</v>
      </c>
      <c r="C24" s="18">
        <f>SUM(B56:C61)</f>
        <v>206</v>
      </c>
      <c r="D24" s="13"/>
      <c r="E24" s="13"/>
      <c r="G24" s="1" t="s">
        <v>62</v>
      </c>
      <c r="H24" s="1">
        <f t="shared" si="16"/>
        <v>2020</v>
      </c>
      <c r="I24" s="18">
        <f t="shared" si="17"/>
        <v>23</v>
      </c>
      <c r="J24" s="13"/>
      <c r="K24" s="13"/>
      <c r="N24" s="1" t="s">
        <v>62</v>
      </c>
      <c r="O24" s="1">
        <f t="shared" si="18"/>
        <v>2020</v>
      </c>
      <c r="P24" s="18">
        <f t="shared" si="19"/>
        <v>23</v>
      </c>
      <c r="Q24" s="18"/>
    </row>
    <row r="25" spans="1:17" x14ac:dyDescent="0.15">
      <c r="A25" s="1" t="s">
        <v>61</v>
      </c>
      <c r="B25" s="1">
        <f t="shared" ref="B25:B26" si="20">B5</f>
        <v>2015</v>
      </c>
      <c r="C25" s="18">
        <f>SUM(B80:C85)</f>
        <v>233</v>
      </c>
      <c r="D25" s="13"/>
      <c r="E25" s="13"/>
      <c r="G25" s="1" t="s">
        <v>106</v>
      </c>
      <c r="H25" s="1">
        <f t="shared" si="16"/>
        <v>2025</v>
      </c>
      <c r="I25" s="18">
        <f>ROUND(VLOOKUP(H25&amp;"_3",管理者用人口入力シート!BH:CM,27,FALSE),0)</f>
        <v>21</v>
      </c>
      <c r="J25" s="13"/>
      <c r="K25" s="13"/>
      <c r="N25" s="1" t="s">
        <v>106</v>
      </c>
      <c r="O25" s="1">
        <f t="shared" si="18"/>
        <v>2025</v>
      </c>
      <c r="P25" s="18">
        <f t="shared" si="19"/>
        <v>21</v>
      </c>
      <c r="Q25" s="18">
        <f>ROUND(VLOOKUP(H17&amp;"_3",管理者用人口入力シート!CO:DT,27,FALSE),0)</f>
        <v>22</v>
      </c>
    </row>
    <row r="26" spans="1:17" x14ac:dyDescent="0.15">
      <c r="A26" s="1" t="s">
        <v>62</v>
      </c>
      <c r="B26" s="1">
        <f t="shared" si="20"/>
        <v>2020</v>
      </c>
      <c r="C26" s="18">
        <f>SUM(B104:C109)</f>
        <v>231</v>
      </c>
      <c r="D26" s="13"/>
      <c r="E26" s="13"/>
      <c r="G26" s="1" t="s">
        <v>107</v>
      </c>
      <c r="H26" s="1">
        <f t="shared" si="16"/>
        <v>2030</v>
      </c>
      <c r="I26" s="18">
        <f>ROUND(VLOOKUP(H26&amp;"_3",管理者用人口入力シート!BH:CM,27,FALSE),0)</f>
        <v>16</v>
      </c>
      <c r="J26" s="13"/>
      <c r="K26" s="13"/>
      <c r="N26" s="1" t="s">
        <v>107</v>
      </c>
      <c r="O26" s="1">
        <f t="shared" si="18"/>
        <v>2030</v>
      </c>
      <c r="P26" s="18">
        <f t="shared" si="19"/>
        <v>16</v>
      </c>
      <c r="Q26" s="18">
        <f>ROUND(VLOOKUP(H18&amp;"_3",管理者用人口入力シート!CO:DT,27,FALSE),0)</f>
        <v>18</v>
      </c>
    </row>
    <row r="27" spans="1:17" x14ac:dyDescent="0.15">
      <c r="G27" s="1" t="s">
        <v>108</v>
      </c>
      <c r="H27" s="1">
        <f t="shared" si="16"/>
        <v>2035</v>
      </c>
      <c r="I27" s="18">
        <f>ROUND(VLOOKUP(H27&amp;"_3",管理者用人口入力シート!BH:CM,27,FALSE),0)</f>
        <v>13</v>
      </c>
      <c r="J27" s="13"/>
      <c r="K27" s="13"/>
      <c r="N27" s="1" t="s">
        <v>108</v>
      </c>
      <c r="O27" s="1">
        <f t="shared" si="18"/>
        <v>2035</v>
      </c>
      <c r="P27" s="18">
        <f t="shared" si="19"/>
        <v>13</v>
      </c>
      <c r="Q27" s="18">
        <f>ROUND(VLOOKUP(H19&amp;"_3",管理者用人口入力シート!CO:DT,27,FALSE),0)</f>
        <v>15</v>
      </c>
    </row>
    <row r="28" spans="1:17" x14ac:dyDescent="0.15">
      <c r="A28" s="75" t="s">
        <v>85</v>
      </c>
      <c r="G28" s="1" t="s">
        <v>109</v>
      </c>
      <c r="H28" s="1">
        <f t="shared" si="16"/>
        <v>2040</v>
      </c>
      <c r="I28" s="18">
        <f>ROUND(VLOOKUP(H28&amp;"_3",管理者用人口入力シート!BH:CM,27,FALSE),0)</f>
        <v>11</v>
      </c>
      <c r="J28" s="13"/>
      <c r="K28" s="13"/>
      <c r="N28" s="1" t="s">
        <v>109</v>
      </c>
      <c r="O28" s="1">
        <f t="shared" si="18"/>
        <v>2040</v>
      </c>
      <c r="P28" s="18">
        <f t="shared" si="19"/>
        <v>11</v>
      </c>
      <c r="Q28" s="18">
        <f>ROUND(VLOOKUP(H20&amp;"_3",管理者用人口入力シート!CO:DT,27,FALSE),0)</f>
        <v>14</v>
      </c>
    </row>
    <row r="29" spans="1:17" x14ac:dyDescent="0.15">
      <c r="A29" s="2" t="s">
        <v>84</v>
      </c>
      <c r="G29" s="3"/>
      <c r="H29" s="3"/>
      <c r="I29" s="3"/>
      <c r="J29" s="3"/>
      <c r="K29" s="3"/>
      <c r="N29" s="3"/>
      <c r="O29" s="3"/>
      <c r="P29" s="3"/>
    </row>
    <row r="30" spans="1:17" x14ac:dyDescent="0.15">
      <c r="A30" s="1" t="s">
        <v>58</v>
      </c>
      <c r="B30" s="1">
        <f>B4</f>
        <v>2010</v>
      </c>
      <c r="C30" s="43">
        <f>ROUND((SUM(B54:C61)/SUM(B41:C61)),2)</f>
        <v>0.33</v>
      </c>
      <c r="D30" s="226"/>
      <c r="E30" s="226"/>
      <c r="G30" s="75" t="s">
        <v>110</v>
      </c>
      <c r="N30" s="75" t="s">
        <v>110</v>
      </c>
    </row>
    <row r="31" spans="1:17" x14ac:dyDescent="0.15">
      <c r="A31" s="1" t="s">
        <v>61</v>
      </c>
      <c r="B31" s="1">
        <f t="shared" ref="B31:B32" si="21">B5</f>
        <v>2015</v>
      </c>
      <c r="C31" s="43">
        <f>ROUND((SUM(B78:C85)/SUM(B65:C85)),2)</f>
        <v>0.38</v>
      </c>
      <c r="D31" s="226"/>
      <c r="E31" s="226"/>
      <c r="G31" s="2" t="s">
        <v>84</v>
      </c>
      <c r="H31" s="71"/>
      <c r="I31" s="72"/>
      <c r="J31" s="13"/>
      <c r="K31" s="13"/>
      <c r="N31" s="2" t="s">
        <v>84</v>
      </c>
      <c r="O31" s="71"/>
      <c r="P31" s="2" t="s">
        <v>120</v>
      </c>
      <c r="Q31" s="2" t="s">
        <v>119</v>
      </c>
    </row>
    <row r="32" spans="1:17" x14ac:dyDescent="0.15">
      <c r="A32" s="1" t="s">
        <v>62</v>
      </c>
      <c r="B32" s="1">
        <f t="shared" si="21"/>
        <v>2020</v>
      </c>
      <c r="C32" s="43">
        <f>ROUND((SUM(B102:C109)/SUM(B89:C109)),2)</f>
        <v>0.43</v>
      </c>
      <c r="D32" s="226"/>
      <c r="E32" s="226"/>
      <c r="G32" s="1" t="s">
        <v>58</v>
      </c>
      <c r="H32" s="1">
        <f>H4</f>
        <v>2010</v>
      </c>
      <c r="I32" s="18">
        <f>C20</f>
        <v>373</v>
      </c>
      <c r="J32" s="13"/>
      <c r="K32" s="13"/>
      <c r="N32" s="1" t="s">
        <v>58</v>
      </c>
      <c r="O32" s="1">
        <f>O4</f>
        <v>2010</v>
      </c>
      <c r="P32" s="18">
        <f>I32</f>
        <v>373</v>
      </c>
      <c r="Q32" s="18"/>
    </row>
    <row r="33" spans="1:17" x14ac:dyDescent="0.15">
      <c r="A33" s="2" t="s">
        <v>86</v>
      </c>
      <c r="G33" s="1" t="s">
        <v>57</v>
      </c>
      <c r="H33" s="1">
        <f t="shared" ref="H33:H38" si="22">H5</f>
        <v>2015</v>
      </c>
      <c r="I33" s="18">
        <f>C21</f>
        <v>400</v>
      </c>
      <c r="J33" s="13"/>
      <c r="K33" s="13"/>
      <c r="N33" s="1" t="s">
        <v>57</v>
      </c>
      <c r="O33" s="1">
        <f t="shared" ref="O33:O38" si="23">O5</f>
        <v>2015</v>
      </c>
      <c r="P33" s="18">
        <f t="shared" ref="P33:P38" si="24">I33</f>
        <v>400</v>
      </c>
      <c r="Q33" s="18"/>
    </row>
    <row r="34" spans="1:17" x14ac:dyDescent="0.15">
      <c r="A34" s="1" t="s">
        <v>58</v>
      </c>
      <c r="B34" s="1">
        <f>B4</f>
        <v>2010</v>
      </c>
      <c r="C34" s="43">
        <f>ROUND((SUM(B56:C61)/SUM(B41:C61)),2)</f>
        <v>0.18</v>
      </c>
      <c r="D34" s="226"/>
      <c r="E34" s="226"/>
      <c r="G34" s="1" t="s">
        <v>62</v>
      </c>
      <c r="H34" s="1">
        <f t="shared" si="22"/>
        <v>2020</v>
      </c>
      <c r="I34" s="18">
        <f>C22</f>
        <v>407</v>
      </c>
      <c r="J34" s="13"/>
      <c r="K34" s="13"/>
      <c r="N34" s="1" t="s">
        <v>62</v>
      </c>
      <c r="O34" s="1">
        <f t="shared" si="23"/>
        <v>2020</v>
      </c>
      <c r="P34" s="18">
        <f t="shared" si="24"/>
        <v>407</v>
      </c>
      <c r="Q34" s="18"/>
    </row>
    <row r="35" spans="1:17" x14ac:dyDescent="0.15">
      <c r="A35" s="1" t="s">
        <v>61</v>
      </c>
      <c r="B35" s="1">
        <f t="shared" ref="B35:B36" si="25">B5</f>
        <v>2015</v>
      </c>
      <c r="C35" s="43">
        <f>ROUND((SUM(B80:C85)/SUM(B65:C85)),2)</f>
        <v>0.22</v>
      </c>
      <c r="D35" s="226"/>
      <c r="E35" s="226"/>
      <c r="G35" s="1" t="s">
        <v>106</v>
      </c>
      <c r="H35" s="1">
        <f t="shared" si="22"/>
        <v>2025</v>
      </c>
      <c r="I35" s="18">
        <f>SUM(H82:I89)</f>
        <v>397</v>
      </c>
      <c r="J35" s="13"/>
      <c r="K35" s="13"/>
      <c r="N35" s="1" t="s">
        <v>106</v>
      </c>
      <c r="O35" s="1">
        <f t="shared" si="23"/>
        <v>2025</v>
      </c>
      <c r="P35" s="18">
        <f t="shared" si="24"/>
        <v>397</v>
      </c>
      <c r="Q35" s="18">
        <f>SUM(O82:P89)</f>
        <v>397</v>
      </c>
    </row>
    <row r="36" spans="1:17" x14ac:dyDescent="0.15">
      <c r="A36" s="1" t="s">
        <v>62</v>
      </c>
      <c r="B36" s="1">
        <f t="shared" si="25"/>
        <v>2020</v>
      </c>
      <c r="C36" s="43">
        <f>ROUND((SUM(B104:C109)/SUM(B89:C109)),2)</f>
        <v>0.24</v>
      </c>
      <c r="D36" s="226"/>
      <c r="E36" s="226"/>
      <c r="G36" s="1" t="s">
        <v>107</v>
      </c>
      <c r="H36" s="1">
        <f t="shared" si="22"/>
        <v>2030</v>
      </c>
      <c r="I36" s="18">
        <f>SUM(H106:I113)</f>
        <v>373</v>
      </c>
      <c r="J36" s="13"/>
      <c r="K36" s="13"/>
      <c r="N36" s="1" t="s">
        <v>107</v>
      </c>
      <c r="O36" s="1">
        <f t="shared" si="23"/>
        <v>2030</v>
      </c>
      <c r="P36" s="18">
        <f t="shared" si="24"/>
        <v>373</v>
      </c>
      <c r="Q36" s="18">
        <f>SUM(O106:P113)</f>
        <v>373</v>
      </c>
    </row>
    <row r="37" spans="1:17" x14ac:dyDescent="0.15">
      <c r="G37" s="1" t="s">
        <v>108</v>
      </c>
      <c r="H37" s="1">
        <f t="shared" si="22"/>
        <v>2035</v>
      </c>
      <c r="I37" s="18">
        <f>SUM(H130:I137)</f>
        <v>342</v>
      </c>
      <c r="J37" s="13"/>
      <c r="K37" s="13"/>
      <c r="N37" s="1" t="s">
        <v>108</v>
      </c>
      <c r="O37" s="1">
        <f t="shared" si="23"/>
        <v>2035</v>
      </c>
      <c r="P37" s="18">
        <f t="shared" si="24"/>
        <v>342</v>
      </c>
      <c r="Q37" s="18">
        <f>SUM(O130:P137)</f>
        <v>342</v>
      </c>
    </row>
    <row r="38" spans="1:17" x14ac:dyDescent="0.15">
      <c r="A38" s="75" t="s">
        <v>113</v>
      </c>
      <c r="G38" s="1" t="s">
        <v>109</v>
      </c>
      <c r="H38" s="1">
        <f t="shared" si="22"/>
        <v>2040</v>
      </c>
      <c r="I38" s="18">
        <f>SUM(H154:I161)</f>
        <v>308</v>
      </c>
      <c r="J38" s="13"/>
      <c r="K38" s="13"/>
      <c r="N38" s="1" t="s">
        <v>109</v>
      </c>
      <c r="O38" s="1">
        <f t="shared" si="23"/>
        <v>2040</v>
      </c>
      <c r="P38" s="18">
        <f t="shared" si="24"/>
        <v>308</v>
      </c>
      <c r="Q38" s="18">
        <f>SUM(O154:P161)</f>
        <v>308</v>
      </c>
    </row>
    <row r="39" spans="1:17" x14ac:dyDescent="0.15">
      <c r="A39" s="2" t="s">
        <v>383</v>
      </c>
      <c r="B39" s="342">
        <f>管理者入力シート!B7</f>
        <v>2010</v>
      </c>
      <c r="C39" s="343"/>
      <c r="D39" s="2" t="s">
        <v>114</v>
      </c>
      <c r="G39" s="2" t="s">
        <v>111</v>
      </c>
      <c r="H39" s="71"/>
      <c r="I39" s="72"/>
      <c r="J39" s="13"/>
      <c r="K39" s="13"/>
      <c r="N39" s="2" t="s">
        <v>111</v>
      </c>
      <c r="O39" s="71"/>
      <c r="P39" s="2" t="s">
        <v>120</v>
      </c>
      <c r="Q39" s="2" t="s">
        <v>119</v>
      </c>
    </row>
    <row r="40" spans="1:17" x14ac:dyDescent="0.15">
      <c r="A40" s="2" t="s">
        <v>115</v>
      </c>
      <c r="B40" s="19" t="s">
        <v>243</v>
      </c>
      <c r="C40" s="19" t="s">
        <v>244</v>
      </c>
      <c r="G40" s="1" t="s">
        <v>58</v>
      </c>
      <c r="H40" s="1">
        <f>H4</f>
        <v>2010</v>
      </c>
      <c r="I40" s="18">
        <f>C24</f>
        <v>206</v>
      </c>
      <c r="J40" s="13"/>
      <c r="K40" s="13"/>
      <c r="N40" s="1" t="s">
        <v>58</v>
      </c>
      <c r="O40" s="1">
        <f>O4</f>
        <v>2010</v>
      </c>
      <c r="P40" s="18">
        <f>I40</f>
        <v>206</v>
      </c>
      <c r="Q40" s="18"/>
    </row>
    <row r="41" spans="1:17" x14ac:dyDescent="0.15">
      <c r="A41" s="2" t="s">
        <v>0</v>
      </c>
      <c r="B41" s="18">
        <f>ROUND(VLOOKUP(B$39&amp;"_1",管理者用人口入力シート!A:X,D41,FALSE),0)</f>
        <v>25</v>
      </c>
      <c r="C41" s="18">
        <f>ROUND(VLOOKUP(B$39&amp;"_2",管理者用人口入力シート!A:X,D41,FALSE),0)</f>
        <v>16</v>
      </c>
      <c r="D41" s="2">
        <v>4</v>
      </c>
      <c r="G41" s="1" t="s">
        <v>57</v>
      </c>
      <c r="H41" s="1">
        <f t="shared" ref="H41:H46" si="26">H5</f>
        <v>2015</v>
      </c>
      <c r="I41" s="18">
        <f>C25</f>
        <v>233</v>
      </c>
      <c r="J41" s="13"/>
      <c r="K41" s="13"/>
      <c r="N41" s="1" t="s">
        <v>57</v>
      </c>
      <c r="O41" s="1">
        <f t="shared" ref="O41:O46" si="27">O5</f>
        <v>2015</v>
      </c>
      <c r="P41" s="18">
        <f t="shared" ref="P41:P46" si="28">I41</f>
        <v>233</v>
      </c>
      <c r="Q41" s="18"/>
    </row>
    <row r="42" spans="1:17" x14ac:dyDescent="0.15">
      <c r="A42" s="2" t="s">
        <v>1</v>
      </c>
      <c r="B42" s="18">
        <f>ROUND(VLOOKUP(B$39&amp;"_1",管理者用人口入力シート!A:X,D42,FALSE),0)</f>
        <v>27</v>
      </c>
      <c r="C42" s="18">
        <f>ROUND(VLOOKUP(B$39&amp;"_2",管理者用人口入力シート!A:X,D42,FALSE),0)</f>
        <v>20</v>
      </c>
      <c r="D42" s="2">
        <v>5</v>
      </c>
      <c r="G42" s="1" t="s">
        <v>62</v>
      </c>
      <c r="H42" s="1">
        <f t="shared" si="26"/>
        <v>2020</v>
      </c>
      <c r="I42" s="18">
        <f>C26</f>
        <v>231</v>
      </c>
      <c r="J42" s="13"/>
      <c r="K42" s="13"/>
      <c r="N42" s="1" t="s">
        <v>62</v>
      </c>
      <c r="O42" s="1">
        <f t="shared" si="27"/>
        <v>2020</v>
      </c>
      <c r="P42" s="18">
        <f t="shared" si="28"/>
        <v>231</v>
      </c>
      <c r="Q42" s="18"/>
    </row>
    <row r="43" spans="1:17" x14ac:dyDescent="0.15">
      <c r="A43" s="2" t="s">
        <v>2</v>
      </c>
      <c r="B43" s="18">
        <f>ROUND(VLOOKUP(B$39&amp;"_1",管理者用人口入力シート!A:X,D43,FALSE),0)</f>
        <v>25</v>
      </c>
      <c r="C43" s="18">
        <f>ROUND(VLOOKUP(B$39&amp;"_2",管理者用人口入力シート!A:X,D43,FALSE),0)</f>
        <v>30</v>
      </c>
      <c r="D43" s="2">
        <v>6</v>
      </c>
      <c r="G43" s="1" t="s">
        <v>106</v>
      </c>
      <c r="H43" s="1">
        <f t="shared" si="26"/>
        <v>2025</v>
      </c>
      <c r="I43" s="18">
        <f>SUM(H84:I89)</f>
        <v>234</v>
      </c>
      <c r="J43" s="13"/>
      <c r="K43" s="13"/>
      <c r="N43" s="1" t="s">
        <v>106</v>
      </c>
      <c r="O43" s="1">
        <f t="shared" si="27"/>
        <v>2025</v>
      </c>
      <c r="P43" s="18">
        <f t="shared" si="28"/>
        <v>234</v>
      </c>
      <c r="Q43" s="18">
        <f>SUM(O84:P89)</f>
        <v>234</v>
      </c>
    </row>
    <row r="44" spans="1:17" x14ac:dyDescent="0.15">
      <c r="A44" s="2" t="s">
        <v>3</v>
      </c>
      <c r="B44" s="18">
        <f>ROUND(VLOOKUP(B$39&amp;"_1",管理者用人口入力シート!A:X,D44,FALSE),0)</f>
        <v>23</v>
      </c>
      <c r="C44" s="18">
        <f>ROUND(VLOOKUP(B$39&amp;"_2",管理者用人口入力シート!A:X,D44,FALSE),0)</f>
        <v>20</v>
      </c>
      <c r="D44" s="2">
        <v>7</v>
      </c>
      <c r="G44" s="1" t="s">
        <v>107</v>
      </c>
      <c r="H44" s="1">
        <f t="shared" si="26"/>
        <v>2030</v>
      </c>
      <c r="I44" s="18">
        <f>SUM(H108:I113)</f>
        <v>238</v>
      </c>
      <c r="J44" s="13"/>
      <c r="K44" s="13"/>
      <c r="N44" s="1" t="s">
        <v>107</v>
      </c>
      <c r="O44" s="1">
        <f t="shared" si="27"/>
        <v>2030</v>
      </c>
      <c r="P44" s="18">
        <f t="shared" si="28"/>
        <v>238</v>
      </c>
      <c r="Q44" s="18">
        <f>SUM(O108:P113)</f>
        <v>238</v>
      </c>
    </row>
    <row r="45" spans="1:17" x14ac:dyDescent="0.15">
      <c r="A45" s="2" t="s">
        <v>4</v>
      </c>
      <c r="B45" s="18">
        <f>ROUND(VLOOKUP(B$39&amp;"_1",管理者用人口入力シート!A:X,D45,FALSE),0)</f>
        <v>15</v>
      </c>
      <c r="C45" s="18">
        <f>ROUND(VLOOKUP(B$39&amp;"_2",管理者用人口入力シート!A:X,D45,FALSE),0)</f>
        <v>17</v>
      </c>
      <c r="D45" s="2">
        <v>8</v>
      </c>
      <c r="G45" s="1" t="s">
        <v>108</v>
      </c>
      <c r="H45" s="1">
        <f t="shared" si="26"/>
        <v>2035</v>
      </c>
      <c r="I45" s="18">
        <f>SUM(H132:I137)</f>
        <v>231</v>
      </c>
      <c r="J45" s="13"/>
      <c r="K45" s="13"/>
      <c r="N45" s="1" t="s">
        <v>108</v>
      </c>
      <c r="O45" s="1">
        <f t="shared" si="27"/>
        <v>2035</v>
      </c>
      <c r="P45" s="18">
        <f t="shared" si="28"/>
        <v>231</v>
      </c>
      <c r="Q45" s="18">
        <f>SUM(O132:P137)</f>
        <v>231</v>
      </c>
    </row>
    <row r="46" spans="1:17" x14ac:dyDescent="0.15">
      <c r="A46" s="2" t="s">
        <v>5</v>
      </c>
      <c r="B46" s="18">
        <f>ROUND(VLOOKUP(B$39&amp;"_1",管理者用人口入力シート!A:X,D46,FALSE),0)</f>
        <v>19</v>
      </c>
      <c r="C46" s="18">
        <f>ROUND(VLOOKUP(B$39&amp;"_2",管理者用人口入力シート!A:X,D46,FALSE),0)</f>
        <v>18</v>
      </c>
      <c r="D46" s="2">
        <v>9</v>
      </c>
      <c r="G46" s="1" t="s">
        <v>109</v>
      </c>
      <c r="H46" s="1">
        <f t="shared" si="26"/>
        <v>2040</v>
      </c>
      <c r="I46" s="18">
        <f>SUM(H156:I161)</f>
        <v>207</v>
      </c>
      <c r="J46" s="13"/>
      <c r="K46" s="13"/>
      <c r="N46" s="1" t="s">
        <v>109</v>
      </c>
      <c r="O46" s="1">
        <f t="shared" si="27"/>
        <v>2040</v>
      </c>
      <c r="P46" s="18">
        <f t="shared" si="28"/>
        <v>207</v>
      </c>
      <c r="Q46" s="18">
        <f>SUM(O156:P161)</f>
        <v>207</v>
      </c>
    </row>
    <row r="47" spans="1:17" x14ac:dyDescent="0.15">
      <c r="A47" s="2" t="s">
        <v>6</v>
      </c>
      <c r="B47" s="18">
        <f>ROUND(VLOOKUP(B$39&amp;"_1",管理者用人口入力シート!A:X,D47,FALSE),0)</f>
        <v>23</v>
      </c>
      <c r="C47" s="18">
        <f>ROUND(VLOOKUP(B$39&amp;"_2",管理者用人口入力シート!A:X,D47,FALSE),0)</f>
        <v>26</v>
      </c>
      <c r="D47" s="2">
        <v>10</v>
      </c>
    </row>
    <row r="48" spans="1:17" x14ac:dyDescent="0.15">
      <c r="A48" s="2" t="s">
        <v>7</v>
      </c>
      <c r="B48" s="18">
        <f>ROUND(VLOOKUP(B$39&amp;"_1",管理者用人口入力シート!A:X,D48,FALSE),0)</f>
        <v>20</v>
      </c>
      <c r="C48" s="18">
        <f>ROUND(VLOOKUP(B$39&amp;"_2",管理者用人口入力シート!A:X,D48,FALSE),0)</f>
        <v>25</v>
      </c>
      <c r="D48" s="2">
        <v>11</v>
      </c>
      <c r="G48" s="75" t="s">
        <v>85</v>
      </c>
      <c r="N48" s="75" t="s">
        <v>85</v>
      </c>
    </row>
    <row r="49" spans="1:17" x14ac:dyDescent="0.15">
      <c r="A49" s="2" t="s">
        <v>8</v>
      </c>
      <c r="B49" s="18">
        <f>ROUND(VLOOKUP(B$39&amp;"_1",管理者用人口入力シート!A:X,D49,FALSE),0)</f>
        <v>32</v>
      </c>
      <c r="C49" s="18">
        <f>ROUND(VLOOKUP(B$39&amp;"_2",管理者用人口入力シート!A:X,D49,FALSE),0)</f>
        <v>27</v>
      </c>
      <c r="D49" s="2">
        <v>12</v>
      </c>
      <c r="G49" s="2" t="s">
        <v>84</v>
      </c>
      <c r="H49" s="71"/>
      <c r="I49" s="72"/>
      <c r="J49" s="13"/>
      <c r="K49" s="13"/>
      <c r="N49" s="2" t="s">
        <v>84</v>
      </c>
      <c r="O49" s="71"/>
      <c r="P49" s="2" t="s">
        <v>120</v>
      </c>
      <c r="Q49" s="2" t="s">
        <v>119</v>
      </c>
    </row>
    <row r="50" spans="1:17" x14ac:dyDescent="0.15">
      <c r="A50" s="2" t="s">
        <v>9</v>
      </c>
      <c r="B50" s="18">
        <f>ROUND(VLOOKUP(B$39&amp;"_1",管理者用人口入力シート!A:X,D50,FALSE),0)</f>
        <v>30</v>
      </c>
      <c r="C50" s="18">
        <f>ROUND(VLOOKUP(B$39&amp;"_2",管理者用人口入力シート!A:X,D50,FALSE),0)</f>
        <v>36</v>
      </c>
      <c r="D50" s="2">
        <v>13</v>
      </c>
      <c r="G50" s="1" t="s">
        <v>58</v>
      </c>
      <c r="H50" s="1">
        <f>H4</f>
        <v>2010</v>
      </c>
      <c r="I50" s="43">
        <f>C30</f>
        <v>0.33</v>
      </c>
      <c r="J50" s="226"/>
      <c r="K50" s="226"/>
      <c r="N50" s="1" t="s">
        <v>58</v>
      </c>
      <c r="O50" s="1">
        <f>O4</f>
        <v>2010</v>
      </c>
      <c r="P50" s="43">
        <f t="shared" ref="P50:P56" si="29">I50</f>
        <v>0.33</v>
      </c>
      <c r="Q50" s="1"/>
    </row>
    <row r="51" spans="1:17" x14ac:dyDescent="0.15">
      <c r="A51" s="2" t="s">
        <v>10</v>
      </c>
      <c r="B51" s="18">
        <f>ROUND(VLOOKUP(B$39&amp;"_1",管理者用人口入力シート!A:X,D51,FALSE),0)</f>
        <v>43</v>
      </c>
      <c r="C51" s="18">
        <f>ROUND(VLOOKUP(B$39&amp;"_2",管理者用人口入力シート!A:X,D51,FALSE),0)</f>
        <v>40</v>
      </c>
      <c r="D51" s="2">
        <v>14</v>
      </c>
      <c r="G51" s="1" t="s">
        <v>57</v>
      </c>
      <c r="H51" s="1">
        <f t="shared" ref="H51:H56" si="30">H5</f>
        <v>2015</v>
      </c>
      <c r="I51" s="43">
        <f t="shared" ref="I51:I52" si="31">C31</f>
        <v>0.38</v>
      </c>
      <c r="J51" s="226"/>
      <c r="K51" s="226"/>
      <c r="N51" s="1" t="s">
        <v>57</v>
      </c>
      <c r="O51" s="1">
        <f t="shared" ref="O51:O56" si="32">O5</f>
        <v>2015</v>
      </c>
      <c r="P51" s="43">
        <f t="shared" si="29"/>
        <v>0.38</v>
      </c>
      <c r="Q51" s="1"/>
    </row>
    <row r="52" spans="1:17" x14ac:dyDescent="0.15">
      <c r="A52" s="2" t="s">
        <v>11</v>
      </c>
      <c r="B52" s="18">
        <f>ROUND(VLOOKUP(B$39&amp;"_1",管理者用人口入力シート!A:X,D52,FALSE),0)</f>
        <v>46</v>
      </c>
      <c r="C52" s="18">
        <f>ROUND(VLOOKUP(B$39&amp;"_2",管理者用人口入力シート!A:X,D52,FALSE),0)</f>
        <v>49</v>
      </c>
      <c r="D52" s="2">
        <v>15</v>
      </c>
      <c r="G52" s="1" t="s">
        <v>62</v>
      </c>
      <c r="H52" s="1">
        <f t="shared" si="30"/>
        <v>2020</v>
      </c>
      <c r="I52" s="43">
        <f t="shared" si="31"/>
        <v>0.43</v>
      </c>
      <c r="J52" s="226"/>
      <c r="K52" s="226"/>
      <c r="N52" s="1" t="s">
        <v>62</v>
      </c>
      <c r="O52" s="1">
        <f t="shared" si="32"/>
        <v>2020</v>
      </c>
      <c r="P52" s="43">
        <f t="shared" si="29"/>
        <v>0.43</v>
      </c>
      <c r="Q52" s="1"/>
    </row>
    <row r="53" spans="1:17" x14ac:dyDescent="0.15">
      <c r="A53" s="2" t="s">
        <v>12</v>
      </c>
      <c r="B53" s="18">
        <f>ROUND(VLOOKUP(B$39&amp;"_1",管理者用人口入力シート!A:X,D53,FALSE),0)</f>
        <v>46</v>
      </c>
      <c r="C53" s="18">
        <f>ROUND(VLOOKUP(B$39&amp;"_2",管理者用人口入力シート!A:X,D53,FALSE),0)</f>
        <v>44</v>
      </c>
      <c r="D53" s="2">
        <v>16</v>
      </c>
      <c r="G53" s="1" t="s">
        <v>106</v>
      </c>
      <c r="H53" s="1">
        <f t="shared" si="30"/>
        <v>2025</v>
      </c>
      <c r="I53" s="43">
        <f>ROUND((SUM(H82:I89)/SUM(H69:I89)),2)</f>
        <v>0.46</v>
      </c>
      <c r="J53" s="226"/>
      <c r="K53" s="226"/>
      <c r="L53" s="76"/>
      <c r="M53" s="76"/>
      <c r="N53" s="1" t="s">
        <v>106</v>
      </c>
      <c r="O53" s="1">
        <f t="shared" si="32"/>
        <v>2025</v>
      </c>
      <c r="P53" s="43">
        <f t="shared" si="29"/>
        <v>0.46</v>
      </c>
      <c r="Q53" s="43">
        <f>ROUND((SUM(O82:P89)/SUM(O69:P89)),2)</f>
        <v>0.46</v>
      </c>
    </row>
    <row r="54" spans="1:17" x14ac:dyDescent="0.15">
      <c r="A54" s="2" t="s">
        <v>13</v>
      </c>
      <c r="B54" s="18">
        <f>ROUND(VLOOKUP(B$39&amp;"_1",管理者用人口入力シート!A:X,D54,FALSE),0)</f>
        <v>36</v>
      </c>
      <c r="C54" s="18">
        <f>ROUND(VLOOKUP(B$39&amp;"_2",管理者用人口入力シート!A:X,D54,FALSE),0)</f>
        <v>48</v>
      </c>
      <c r="D54" s="2">
        <v>17</v>
      </c>
      <c r="G54" s="1" t="s">
        <v>107</v>
      </c>
      <c r="H54" s="1">
        <f t="shared" si="30"/>
        <v>2030</v>
      </c>
      <c r="I54" s="43">
        <f>ROUND((SUM(H106:I113)/SUM(H93:I113)),2)</f>
        <v>0.48</v>
      </c>
      <c r="J54" s="226"/>
      <c r="K54" s="226"/>
      <c r="N54" s="1" t="s">
        <v>107</v>
      </c>
      <c r="O54" s="1">
        <f t="shared" si="32"/>
        <v>2030</v>
      </c>
      <c r="P54" s="43">
        <f t="shared" si="29"/>
        <v>0.48</v>
      </c>
      <c r="Q54" s="43">
        <f>ROUND((SUM(O106:P113)/SUM(O93:P113)),2)</f>
        <v>0.47</v>
      </c>
    </row>
    <row r="55" spans="1:17" x14ac:dyDescent="0.15">
      <c r="A55" s="2" t="s">
        <v>14</v>
      </c>
      <c r="B55" s="18">
        <f>ROUND(VLOOKUP(B$39&amp;"_1",管理者用人口入力シート!A:X,D55,FALSE),0)</f>
        <v>41</v>
      </c>
      <c r="C55" s="18">
        <f>ROUND(VLOOKUP(B$39&amp;"_2",管理者用人口入力シート!A:X,D55,FALSE),0)</f>
        <v>42</v>
      </c>
      <c r="D55" s="2">
        <v>18</v>
      </c>
      <c r="G55" s="1" t="s">
        <v>108</v>
      </c>
      <c r="H55" s="1">
        <f t="shared" si="30"/>
        <v>2035</v>
      </c>
      <c r="I55" s="43">
        <f>ROUND((SUM(H130:I137)/SUM(H117:I137)),2)</f>
        <v>0.5</v>
      </c>
      <c r="J55" s="226"/>
      <c r="K55" s="226"/>
      <c r="N55" s="1" t="s">
        <v>108</v>
      </c>
      <c r="O55" s="1">
        <f t="shared" si="32"/>
        <v>2035</v>
      </c>
      <c r="P55" s="43">
        <f t="shared" si="29"/>
        <v>0.5</v>
      </c>
      <c r="Q55" s="43">
        <f>ROUND((SUM(O130:P137)/SUM(O117:P137)),2)</f>
        <v>0.48</v>
      </c>
    </row>
    <row r="56" spans="1:17" x14ac:dyDescent="0.15">
      <c r="A56" s="2" t="s">
        <v>15</v>
      </c>
      <c r="B56" s="18">
        <f>ROUND(VLOOKUP(B$39&amp;"_1",管理者用人口入力シート!A:X,D56,FALSE),0)</f>
        <v>38</v>
      </c>
      <c r="C56" s="18">
        <f>ROUND(VLOOKUP(B$39&amp;"_2",管理者用人口入力シート!A:X,D56,FALSE),0)</f>
        <v>46</v>
      </c>
      <c r="D56" s="2">
        <v>19</v>
      </c>
      <c r="G56" s="1" t="s">
        <v>109</v>
      </c>
      <c r="H56" s="1">
        <f t="shared" si="30"/>
        <v>2040</v>
      </c>
      <c r="I56" s="43">
        <f>ROUND((SUM(H154:I161)/SUM(H141:I161)),2)</f>
        <v>0.52</v>
      </c>
      <c r="J56" s="226"/>
      <c r="K56" s="226"/>
      <c r="N56" s="1" t="s">
        <v>109</v>
      </c>
      <c r="O56" s="1">
        <f t="shared" si="32"/>
        <v>2040</v>
      </c>
      <c r="P56" s="43">
        <f t="shared" si="29"/>
        <v>0.52</v>
      </c>
      <c r="Q56" s="43">
        <f>ROUND((SUM(O154:P161)/SUM(O141:P161)),2)</f>
        <v>0.48</v>
      </c>
    </row>
    <row r="57" spans="1:17" x14ac:dyDescent="0.15">
      <c r="A57" s="2" t="s">
        <v>16</v>
      </c>
      <c r="B57" s="18">
        <f>ROUND(VLOOKUP(B$39&amp;"_1",管理者用人口入力シート!A:X,D57,FALSE),0)</f>
        <v>27</v>
      </c>
      <c r="C57" s="18">
        <f>ROUND(VLOOKUP(B$39&amp;"_2",管理者用人口入力シート!A:X,D57,FALSE),0)</f>
        <v>37</v>
      </c>
      <c r="D57" s="2">
        <v>20</v>
      </c>
      <c r="G57" s="2" t="s">
        <v>111</v>
      </c>
      <c r="H57" s="71"/>
      <c r="I57" s="72"/>
      <c r="J57" s="13"/>
      <c r="K57" s="13"/>
      <c r="N57" s="2" t="s">
        <v>111</v>
      </c>
      <c r="O57" s="71"/>
      <c r="P57" s="2" t="s">
        <v>120</v>
      </c>
      <c r="Q57" s="2" t="s">
        <v>119</v>
      </c>
    </row>
    <row r="58" spans="1:17" x14ac:dyDescent="0.15">
      <c r="A58" s="2" t="s">
        <v>17</v>
      </c>
      <c r="B58" s="18">
        <f>ROUND(VLOOKUP(B$39&amp;"_1",管理者用人口入力シート!A:X,D58,FALSE),0)</f>
        <v>10</v>
      </c>
      <c r="C58" s="18">
        <f>ROUND(VLOOKUP(B$39&amp;"_2",管理者用人口入力シート!A:X,D58,FALSE),0)</f>
        <v>26</v>
      </c>
      <c r="D58" s="2">
        <v>21</v>
      </c>
      <c r="G58" s="1" t="s">
        <v>58</v>
      </c>
      <c r="H58" s="1">
        <f>H4</f>
        <v>2010</v>
      </c>
      <c r="I58" s="43">
        <f>C34</f>
        <v>0.18</v>
      </c>
      <c r="J58" s="226"/>
      <c r="K58" s="226"/>
      <c r="N58" s="1" t="s">
        <v>58</v>
      </c>
      <c r="O58" s="1">
        <f>O4</f>
        <v>2010</v>
      </c>
      <c r="P58" s="43">
        <f t="shared" ref="P58:P64" si="33">I58</f>
        <v>0.18</v>
      </c>
      <c r="Q58" s="1"/>
    </row>
    <row r="59" spans="1:17" x14ac:dyDescent="0.15">
      <c r="A59" s="2" t="s">
        <v>18</v>
      </c>
      <c r="B59" s="18">
        <f>ROUND(VLOOKUP(B$39&amp;"_1",管理者用人口入力シート!A:X,D59,FALSE),0)</f>
        <v>3</v>
      </c>
      <c r="C59" s="18">
        <f>ROUND(VLOOKUP(B$39&amp;"_2",管理者用人口入力シート!A:X,D59,FALSE),0)</f>
        <v>14</v>
      </c>
      <c r="D59" s="2">
        <v>22</v>
      </c>
      <c r="G59" s="1" t="s">
        <v>57</v>
      </c>
      <c r="H59" s="1">
        <f t="shared" ref="H59:H64" si="34">H5</f>
        <v>2015</v>
      </c>
      <c r="I59" s="43">
        <f t="shared" ref="I59:I60" si="35">C35</f>
        <v>0.22</v>
      </c>
      <c r="J59" s="226"/>
      <c r="K59" s="226"/>
      <c r="N59" s="1" t="s">
        <v>57</v>
      </c>
      <c r="O59" s="1">
        <f t="shared" ref="O59:O64" si="36">O5</f>
        <v>2015</v>
      </c>
      <c r="P59" s="43">
        <f t="shared" si="33"/>
        <v>0.22</v>
      </c>
      <c r="Q59" s="1"/>
    </row>
    <row r="60" spans="1:17" x14ac:dyDescent="0.15">
      <c r="A60" s="2" t="s">
        <v>19</v>
      </c>
      <c r="B60" s="18">
        <f>ROUND(VLOOKUP(B$39&amp;"_1",管理者用人口入力シート!A:X,D60,FALSE),0)</f>
        <v>0</v>
      </c>
      <c r="C60" s="18">
        <f>ROUND(VLOOKUP(B$39&amp;"_2",管理者用人口入力シート!A:X,D60,FALSE),0)</f>
        <v>5</v>
      </c>
      <c r="D60" s="2">
        <v>23</v>
      </c>
      <c r="G60" s="1" t="s">
        <v>62</v>
      </c>
      <c r="H60" s="1">
        <f t="shared" si="34"/>
        <v>2020</v>
      </c>
      <c r="I60" s="43">
        <f t="shared" si="35"/>
        <v>0.24</v>
      </c>
      <c r="J60" s="226"/>
      <c r="K60" s="226"/>
      <c r="N60" s="1" t="s">
        <v>62</v>
      </c>
      <c r="O60" s="1">
        <f t="shared" si="36"/>
        <v>2020</v>
      </c>
      <c r="P60" s="43">
        <f t="shared" si="33"/>
        <v>0.24</v>
      </c>
      <c r="Q60" s="1"/>
    </row>
    <row r="61" spans="1:17" x14ac:dyDescent="0.15">
      <c r="A61" s="2" t="s">
        <v>20</v>
      </c>
      <c r="B61" s="18">
        <f>ROUND(VLOOKUP(B$39&amp;"_1",管理者用人口入力シート!A:X,D61,FALSE),0)</f>
        <v>0</v>
      </c>
      <c r="C61" s="18">
        <f>ROUND(VLOOKUP(B$39&amp;"_2",管理者用人口入力シート!A:X,D61,FALSE),0)</f>
        <v>0</v>
      </c>
      <c r="D61" s="2">
        <v>24</v>
      </c>
      <c r="G61" s="1" t="s">
        <v>106</v>
      </c>
      <c r="H61" s="1">
        <f t="shared" si="34"/>
        <v>2025</v>
      </c>
      <c r="I61" s="43">
        <f>ROUND((SUM(H84:I89)/SUM(H69:I89)),2)</f>
        <v>0.27</v>
      </c>
      <c r="J61" s="226"/>
      <c r="K61" s="226"/>
      <c r="N61" s="1" t="s">
        <v>106</v>
      </c>
      <c r="O61" s="1">
        <f t="shared" si="36"/>
        <v>2025</v>
      </c>
      <c r="P61" s="43">
        <f t="shared" si="33"/>
        <v>0.27</v>
      </c>
      <c r="Q61" s="43">
        <f>ROUND((SUM(O84:P89)/SUM(O69:P89)),2)</f>
        <v>0.27</v>
      </c>
    </row>
    <row r="62" spans="1:17" x14ac:dyDescent="0.15">
      <c r="G62" s="1" t="s">
        <v>107</v>
      </c>
      <c r="H62" s="1">
        <f t="shared" si="34"/>
        <v>2030</v>
      </c>
      <c r="I62" s="43">
        <f>ROUND((SUM(H108:I113)/SUM(H93:I113)),2)</f>
        <v>0.31</v>
      </c>
      <c r="J62" s="226"/>
      <c r="K62" s="226"/>
      <c r="N62" s="1" t="s">
        <v>107</v>
      </c>
      <c r="O62" s="1">
        <f t="shared" si="36"/>
        <v>2030</v>
      </c>
      <c r="P62" s="43">
        <f t="shared" si="33"/>
        <v>0.31</v>
      </c>
      <c r="Q62" s="43">
        <f>ROUND((SUM(O108:P113)/SUM(O93:P113)),2)</f>
        <v>0.3</v>
      </c>
    </row>
    <row r="63" spans="1:17" x14ac:dyDescent="0.15">
      <c r="A63" s="2" t="s">
        <v>384</v>
      </c>
      <c r="B63" s="342">
        <f>管理者入力シート!B6</f>
        <v>2015</v>
      </c>
      <c r="C63" s="343"/>
      <c r="D63" s="2" t="s">
        <v>114</v>
      </c>
      <c r="G63" s="1" t="s">
        <v>108</v>
      </c>
      <c r="H63" s="1">
        <f t="shared" si="34"/>
        <v>2035</v>
      </c>
      <c r="I63" s="43">
        <f>ROUND((SUM(H132:I137)/SUM(H117:I137)),2)</f>
        <v>0.34</v>
      </c>
      <c r="J63" s="226"/>
      <c r="K63" s="226"/>
      <c r="N63" s="1" t="s">
        <v>108</v>
      </c>
      <c r="O63" s="1">
        <f t="shared" si="36"/>
        <v>2035</v>
      </c>
      <c r="P63" s="43">
        <f t="shared" si="33"/>
        <v>0.34</v>
      </c>
      <c r="Q63" s="43">
        <f>ROUND((SUM(O132:P137)/SUM(O117:P137)),2)</f>
        <v>0.32</v>
      </c>
    </row>
    <row r="64" spans="1:17" x14ac:dyDescent="0.15">
      <c r="A64" s="2" t="s">
        <v>115</v>
      </c>
      <c r="B64" s="19" t="s">
        <v>21</v>
      </c>
      <c r="C64" s="19" t="s">
        <v>22</v>
      </c>
      <c r="G64" s="1" t="s">
        <v>109</v>
      </c>
      <c r="H64" s="1">
        <f t="shared" si="34"/>
        <v>2040</v>
      </c>
      <c r="I64" s="43">
        <f>ROUND((SUM(H156:I161)/SUM(H141:I161)),2)</f>
        <v>0.35</v>
      </c>
      <c r="J64" s="226"/>
      <c r="K64" s="226"/>
      <c r="N64" s="1" t="s">
        <v>109</v>
      </c>
      <c r="O64" s="1">
        <f t="shared" si="36"/>
        <v>2040</v>
      </c>
      <c r="P64" s="43">
        <f t="shared" si="33"/>
        <v>0.35</v>
      </c>
      <c r="Q64" s="43">
        <f>ROUND((SUM(O156:P161)/SUM(O141:P161)),2)</f>
        <v>0.32</v>
      </c>
    </row>
    <row r="65" spans="1:21" x14ac:dyDescent="0.15">
      <c r="A65" s="2" t="s">
        <v>0</v>
      </c>
      <c r="B65" s="18">
        <f>ROUND(VLOOKUP(B$63&amp;"_1",管理者用人口入力シート!A:X,D65,FALSE),0)</f>
        <v>16</v>
      </c>
      <c r="C65" s="18">
        <f>ROUND(VLOOKUP(B$63&amp;"_2",管理者用人口入力シート!A:X,D65,FALSE),0)</f>
        <v>14</v>
      </c>
      <c r="D65" s="2">
        <v>4</v>
      </c>
    </row>
    <row r="66" spans="1:21" x14ac:dyDescent="0.15">
      <c r="A66" s="2" t="s">
        <v>1</v>
      </c>
      <c r="B66" s="18">
        <f>ROUND(VLOOKUP(B$63&amp;"_1",管理者用人口入力シート!A:X,D66,FALSE),0)</f>
        <v>18</v>
      </c>
      <c r="C66" s="18">
        <f>ROUND(VLOOKUP(B$63&amp;"_2",管理者用人口入力シート!A:X,D66,FALSE),0)</f>
        <v>17</v>
      </c>
      <c r="D66" s="2">
        <v>5</v>
      </c>
      <c r="G66" s="75" t="s">
        <v>113</v>
      </c>
      <c r="N66" s="75" t="s">
        <v>113</v>
      </c>
    </row>
    <row r="67" spans="1:21" x14ac:dyDescent="0.15">
      <c r="A67" s="2" t="s">
        <v>2</v>
      </c>
      <c r="B67" s="18">
        <f>ROUND(VLOOKUP(B$63&amp;"_1",管理者用人口入力シート!A:X,D67,FALSE),0)</f>
        <v>25</v>
      </c>
      <c r="C67" s="18">
        <f>ROUND(VLOOKUP(B$63&amp;"_2",管理者用人口入力シート!A:X,D67,FALSE),0)</f>
        <v>23</v>
      </c>
      <c r="D67" s="2">
        <v>6</v>
      </c>
      <c r="G67" s="2" t="s">
        <v>106</v>
      </c>
      <c r="H67" s="342">
        <f>管理者入力シート!B8</f>
        <v>2025</v>
      </c>
      <c r="I67" s="343"/>
      <c r="J67" s="2" t="s">
        <v>114</v>
      </c>
      <c r="K67" s="230"/>
      <c r="O67" s="342">
        <f>管理者入力シート!B8</f>
        <v>2025</v>
      </c>
      <c r="P67" s="343"/>
      <c r="Q67" s="2" t="s">
        <v>114</v>
      </c>
    </row>
    <row r="68" spans="1:21" x14ac:dyDescent="0.15">
      <c r="A68" s="2" t="s">
        <v>3</v>
      </c>
      <c r="B68" s="18">
        <f>ROUND(VLOOKUP(B$63&amp;"_1",管理者用人口入力シート!A:X,D68,FALSE),0)</f>
        <v>20</v>
      </c>
      <c r="C68" s="18">
        <f>ROUND(VLOOKUP(B$63&amp;"_2",管理者用人口入力シート!A:X,D68,FALSE),0)</f>
        <v>23</v>
      </c>
      <c r="D68" s="2">
        <v>7</v>
      </c>
      <c r="G68" s="2" t="s">
        <v>115</v>
      </c>
      <c r="H68" s="19" t="s">
        <v>243</v>
      </c>
      <c r="I68" s="19" t="s">
        <v>244</v>
      </c>
      <c r="K68" s="230"/>
      <c r="N68" s="2" t="s">
        <v>115</v>
      </c>
      <c r="O68" s="19" t="s">
        <v>21</v>
      </c>
      <c r="P68" s="19" t="s">
        <v>22</v>
      </c>
    </row>
    <row r="69" spans="1:21" x14ac:dyDescent="0.15">
      <c r="A69" s="2" t="s">
        <v>4</v>
      </c>
      <c r="B69" s="18">
        <f>ROUND(VLOOKUP(B$63&amp;"_1",管理者用人口入力シート!A:X,D69,FALSE),0)</f>
        <v>13</v>
      </c>
      <c r="C69" s="18">
        <f>ROUND(VLOOKUP(B$63&amp;"_2",管理者用人口入力シート!A:X,D69,FALSE),0)</f>
        <v>11</v>
      </c>
      <c r="D69" s="2">
        <v>8</v>
      </c>
      <c r="G69" s="2" t="s">
        <v>0</v>
      </c>
      <c r="H69" s="18">
        <f>ROUND(VLOOKUP(H$67&amp;"_1",管理者用人口入力シート!BH:CE,J69,FALSE),0)</f>
        <v>9</v>
      </c>
      <c r="I69" s="18">
        <f>ROUND(VLOOKUP(H$67&amp;"_2",管理者用人口入力シート!BH:CE,J69,FALSE),0)</f>
        <v>11</v>
      </c>
      <c r="J69" s="2">
        <v>4</v>
      </c>
      <c r="K69" s="13"/>
      <c r="N69" s="2" t="s">
        <v>0</v>
      </c>
      <c r="O69" s="18">
        <f>ROUND(VLOOKUP(O$67&amp;"_1",管理者用人口入力シート!CO:DL,Q69,FALSE),0)</f>
        <v>10</v>
      </c>
      <c r="P69" s="18">
        <f>ROUND(VLOOKUP(O$67&amp;"_2",管理者用人口入力シート!CO:DL,Q69,FALSE),0)</f>
        <v>12</v>
      </c>
      <c r="Q69" s="2">
        <v>4</v>
      </c>
      <c r="U69" s="91"/>
    </row>
    <row r="70" spans="1:21" x14ac:dyDescent="0.15">
      <c r="A70" s="2" t="s">
        <v>5</v>
      </c>
      <c r="B70" s="18">
        <f>ROUND(VLOOKUP(B$63&amp;"_1",管理者用人口入力シート!A:X,D70,FALSE),0)</f>
        <v>15</v>
      </c>
      <c r="C70" s="18">
        <f>ROUND(VLOOKUP(B$63&amp;"_2",管理者用人口入力シート!A:X,D70,FALSE),0)</f>
        <v>13</v>
      </c>
      <c r="D70" s="2">
        <v>9</v>
      </c>
      <c r="G70" s="2" t="s">
        <v>1</v>
      </c>
      <c r="H70" s="18">
        <f>ROUND(VLOOKUP(H$67&amp;"_1",管理者用人口入力シート!BH:CE,J70,FALSE),0)</f>
        <v>10</v>
      </c>
      <c r="I70" s="18">
        <f>ROUND(VLOOKUP(H$67&amp;"_2",管理者用人口入力シート!BH:CE,J70,FALSE),0)</f>
        <v>15</v>
      </c>
      <c r="J70" s="2">
        <v>5</v>
      </c>
      <c r="K70" s="13"/>
      <c r="N70" s="2" t="s">
        <v>1</v>
      </c>
      <c r="O70" s="18">
        <f>ROUND(VLOOKUP(O$67&amp;"_1",管理者用人口入力シート!CO:DL,Q70,FALSE),0)</f>
        <v>10</v>
      </c>
      <c r="P70" s="18">
        <f>ROUND(VLOOKUP(O$67&amp;"_2",管理者用人口入力シート!CO:DL,Q70,FALSE),0)</f>
        <v>15</v>
      </c>
      <c r="Q70" s="2">
        <v>5</v>
      </c>
      <c r="U70" s="91"/>
    </row>
    <row r="71" spans="1:21" x14ac:dyDescent="0.15">
      <c r="A71" s="2" t="s">
        <v>6</v>
      </c>
      <c r="B71" s="18">
        <f>ROUND(VLOOKUP(B$63&amp;"_1",管理者用人口入力シート!A:X,D71,FALSE),0)</f>
        <v>18</v>
      </c>
      <c r="C71" s="18">
        <f>ROUND(VLOOKUP(B$63&amp;"_2",管理者用人口入力シート!A:X,D71,FALSE),0)</f>
        <v>18</v>
      </c>
      <c r="D71" s="2">
        <v>10</v>
      </c>
      <c r="G71" s="2" t="s">
        <v>2</v>
      </c>
      <c r="H71" s="18">
        <f>ROUND(VLOOKUP(H$67&amp;"_1",管理者用人口入力シート!BH:CE,J71,FALSE),0)</f>
        <v>19</v>
      </c>
      <c r="I71" s="18">
        <f>ROUND(VLOOKUP(H$67&amp;"_2",管理者用人口入力シート!BH:CE,J71,FALSE),0)</f>
        <v>19</v>
      </c>
      <c r="J71" s="2">
        <v>6</v>
      </c>
      <c r="K71" s="13"/>
      <c r="N71" s="2" t="s">
        <v>2</v>
      </c>
      <c r="O71" s="18">
        <f>ROUND(VLOOKUP(O$67&amp;"_1",管理者用人口入力シート!CO:DL,Q71,FALSE),0)</f>
        <v>20</v>
      </c>
      <c r="P71" s="18">
        <f>ROUND(VLOOKUP(O$67&amp;"_2",管理者用人口入力シート!CO:DL,Q71,FALSE),0)</f>
        <v>20</v>
      </c>
      <c r="Q71" s="2">
        <v>6</v>
      </c>
      <c r="U71" s="91"/>
    </row>
    <row r="72" spans="1:21" x14ac:dyDescent="0.15">
      <c r="A72" s="2" t="s">
        <v>7</v>
      </c>
      <c r="B72" s="18">
        <f>ROUND(VLOOKUP(B$63&amp;"_1",管理者用人口入力シート!A:X,D72,FALSE),0)</f>
        <v>22</v>
      </c>
      <c r="C72" s="18">
        <f>ROUND(VLOOKUP(B$63&amp;"_2",管理者用人口入力シート!A:X,D72,FALSE),0)</f>
        <v>26</v>
      </c>
      <c r="D72" s="2">
        <v>11</v>
      </c>
      <c r="G72" s="2" t="s">
        <v>3</v>
      </c>
      <c r="H72" s="18">
        <f>ROUND(VLOOKUP(H$67&amp;"_1",管理者用人口入力シート!BH:CE,J72,FALSE),0)</f>
        <v>16</v>
      </c>
      <c r="I72" s="18">
        <f>ROUND(VLOOKUP(H$67&amp;"_2",管理者用人口入力シート!BH:CE,J72,FALSE),0)</f>
        <v>15</v>
      </c>
      <c r="J72" s="2">
        <v>7</v>
      </c>
      <c r="K72" s="13"/>
      <c r="N72" s="2" t="s">
        <v>3</v>
      </c>
      <c r="O72" s="18">
        <f>ROUND(VLOOKUP(O$67&amp;"_1",管理者用人口入力シート!CO:DL,Q72,FALSE),0)</f>
        <v>16</v>
      </c>
      <c r="P72" s="18">
        <f>ROUND(VLOOKUP(O$67&amp;"_2",管理者用人口入力シート!CO:DL,Q72,FALSE),0)</f>
        <v>15</v>
      </c>
      <c r="Q72" s="2">
        <v>7</v>
      </c>
      <c r="U72" s="91"/>
    </row>
    <row r="73" spans="1:21" x14ac:dyDescent="0.15">
      <c r="A73" s="2" t="s">
        <v>8</v>
      </c>
      <c r="B73" s="18">
        <f>ROUND(VLOOKUP(B$63&amp;"_1",管理者用人口入力シート!A:X,D73,FALSE),0)</f>
        <v>21</v>
      </c>
      <c r="C73" s="18">
        <f>ROUND(VLOOKUP(B$63&amp;"_2",管理者用人口入力シート!A:X,D73,FALSE),0)</f>
        <v>27</v>
      </c>
      <c r="D73" s="2">
        <v>12</v>
      </c>
      <c r="G73" s="2" t="s">
        <v>4</v>
      </c>
      <c r="H73" s="18">
        <f>ROUND(VLOOKUP(H$67&amp;"_1",管理者用人口入力シート!BH:CE,J73,FALSE),0)</f>
        <v>10</v>
      </c>
      <c r="I73" s="18">
        <f>ROUND(VLOOKUP(H$67&amp;"_2",管理者用人口入力シート!BH:CE,J73,FALSE),0)</f>
        <v>9</v>
      </c>
      <c r="J73" s="2">
        <v>8</v>
      </c>
      <c r="K73" s="13"/>
      <c r="N73" s="2" t="s">
        <v>4</v>
      </c>
      <c r="O73" s="18">
        <f>ROUND(VLOOKUP(O$67&amp;"_1",管理者用人口入力シート!CO:DL,Q73,FALSE),0)</f>
        <v>10</v>
      </c>
      <c r="P73" s="18">
        <f>ROUND(VLOOKUP(O$67&amp;"_2",管理者用人口入力シート!CO:DL,Q73,FALSE),0)</f>
        <v>9</v>
      </c>
      <c r="Q73" s="2">
        <v>8</v>
      </c>
      <c r="U73" s="91"/>
    </row>
    <row r="74" spans="1:21" x14ac:dyDescent="0.15">
      <c r="A74" s="2" t="s">
        <v>9</v>
      </c>
      <c r="B74" s="18">
        <f>ROUND(VLOOKUP(B$63&amp;"_1",管理者用人口入力シート!A:X,D74,FALSE),0)</f>
        <v>30</v>
      </c>
      <c r="C74" s="18">
        <f>ROUND(VLOOKUP(B$63&amp;"_2",管理者用人口入力シート!A:X,D74,FALSE),0)</f>
        <v>27</v>
      </c>
      <c r="D74" s="2">
        <v>13</v>
      </c>
      <c r="G74" s="2" t="s">
        <v>5</v>
      </c>
      <c r="H74" s="18">
        <f>ROUND(VLOOKUP(H$67&amp;"_1",管理者用人口入力シート!BH:CE,J74,FALSE),0)</f>
        <v>8</v>
      </c>
      <c r="I74" s="18">
        <f>ROUND(VLOOKUP(H$67&amp;"_2",管理者用人口入力シート!BH:CE,J74,FALSE),0)</f>
        <v>14</v>
      </c>
      <c r="J74" s="2">
        <v>9</v>
      </c>
      <c r="K74" s="13"/>
      <c r="N74" s="2" t="s">
        <v>5</v>
      </c>
      <c r="O74" s="18">
        <f>ROUND(VLOOKUP(O$67&amp;"_1",管理者用人口入力シート!CO:DL,Q74,FALSE),0)</f>
        <v>10</v>
      </c>
      <c r="P74" s="18">
        <f>ROUND(VLOOKUP(O$67&amp;"_2",管理者用人口入力シート!CO:DL,Q74,FALSE),0)</f>
        <v>16</v>
      </c>
      <c r="Q74" s="2">
        <v>9</v>
      </c>
      <c r="U74" s="91"/>
    </row>
    <row r="75" spans="1:21" x14ac:dyDescent="0.15">
      <c r="A75" s="2" t="s">
        <v>10</v>
      </c>
      <c r="B75" s="18">
        <f>ROUND(VLOOKUP(B$63&amp;"_1",管理者用人口入力シート!A:X,D75,FALSE),0)</f>
        <v>31</v>
      </c>
      <c r="C75" s="18">
        <f>ROUND(VLOOKUP(B$63&amp;"_2",管理者用人口入力シート!A:X,D75,FALSE),0)</f>
        <v>34</v>
      </c>
      <c r="D75" s="2">
        <v>14</v>
      </c>
      <c r="G75" s="2" t="s">
        <v>6</v>
      </c>
      <c r="H75" s="18">
        <f>ROUND(VLOOKUP(H$67&amp;"_1",管理者用人口入力シート!BH:CE,J75,FALSE),0)</f>
        <v>11</v>
      </c>
      <c r="I75" s="18">
        <f>ROUND(VLOOKUP(H$67&amp;"_2",管理者用人口入力シート!BH:CE,J75,FALSE),0)</f>
        <v>11</v>
      </c>
      <c r="J75" s="2">
        <v>10</v>
      </c>
      <c r="K75" s="13"/>
      <c r="N75" s="2" t="s">
        <v>6</v>
      </c>
      <c r="O75" s="18">
        <f>ROUND(VLOOKUP(O$67&amp;"_1",管理者用人口入力シート!CO:DL,Q75,FALSE),0)</f>
        <v>11</v>
      </c>
      <c r="P75" s="18">
        <f>ROUND(VLOOKUP(O$67&amp;"_2",管理者用人口入力シート!CO:DL,Q75,FALSE),0)</f>
        <v>11</v>
      </c>
      <c r="Q75" s="2">
        <v>10</v>
      </c>
      <c r="U75" s="91"/>
    </row>
    <row r="76" spans="1:21" x14ac:dyDescent="0.15">
      <c r="A76" s="2" t="s">
        <v>11</v>
      </c>
      <c r="B76" s="18">
        <f>ROUND(VLOOKUP(B$63&amp;"_1",管理者用人口入力シート!A:X,D76,FALSE),0)</f>
        <v>42</v>
      </c>
      <c r="C76" s="18">
        <f>ROUND(VLOOKUP(B$63&amp;"_2",管理者用人口入力シート!A:X,D76,FALSE),0)</f>
        <v>41</v>
      </c>
      <c r="D76" s="2">
        <v>15</v>
      </c>
      <c r="G76" s="2" t="s">
        <v>7</v>
      </c>
      <c r="H76" s="18">
        <f>ROUND(VLOOKUP(H$67&amp;"_1",管理者用人口入力シート!BH:CE,J76,FALSE),0)</f>
        <v>15</v>
      </c>
      <c r="I76" s="18">
        <f>ROUND(VLOOKUP(H$67&amp;"_2",管理者用人口入力シート!BH:CE,J76,FALSE),0)</f>
        <v>12</v>
      </c>
      <c r="J76" s="2">
        <v>11</v>
      </c>
      <c r="K76" s="13"/>
      <c r="N76" s="2" t="s">
        <v>7</v>
      </c>
      <c r="O76" s="18">
        <f>ROUND(VLOOKUP(O$67&amp;"_1",管理者用人口入力シート!CO:DL,Q76,FALSE),0)</f>
        <v>15</v>
      </c>
      <c r="P76" s="18">
        <f>ROUND(VLOOKUP(O$67&amp;"_2",管理者用人口入力シート!CO:DL,Q76,FALSE),0)</f>
        <v>12</v>
      </c>
      <c r="Q76" s="2">
        <v>11</v>
      </c>
      <c r="U76" s="91"/>
    </row>
    <row r="77" spans="1:21" x14ac:dyDescent="0.15">
      <c r="A77" s="2" t="s">
        <v>12</v>
      </c>
      <c r="B77" s="18">
        <f>ROUND(VLOOKUP(B$63&amp;"_1",管理者用人口入力シート!A:X,D77,FALSE),0)</f>
        <v>46</v>
      </c>
      <c r="C77" s="18">
        <f>ROUND(VLOOKUP(B$63&amp;"_2",管理者用人口入力シート!A:X,D77,FALSE),0)</f>
        <v>49</v>
      </c>
      <c r="D77" s="2">
        <v>16</v>
      </c>
      <c r="G77" s="2" t="s">
        <v>8</v>
      </c>
      <c r="H77" s="18">
        <f>ROUND(VLOOKUP(H$67&amp;"_1",管理者用人口入力シート!BH:CE,J77,FALSE),0)</f>
        <v>21</v>
      </c>
      <c r="I77" s="18">
        <f>ROUND(VLOOKUP(H$67&amp;"_2",管理者用人口入力シート!BH:CE,J77,FALSE),0)</f>
        <v>18</v>
      </c>
      <c r="J77" s="2">
        <v>12</v>
      </c>
      <c r="K77" s="13"/>
      <c r="N77" s="2" t="s">
        <v>8</v>
      </c>
      <c r="O77" s="18">
        <f>ROUND(VLOOKUP(O$67&amp;"_1",管理者用人口入力シート!CO:DL,Q77,FALSE),0)</f>
        <v>21</v>
      </c>
      <c r="P77" s="18">
        <f>ROUND(VLOOKUP(O$67&amp;"_2",管理者用人口入力シート!CO:DL,Q77,FALSE),0)</f>
        <v>19</v>
      </c>
      <c r="Q77" s="2">
        <v>12</v>
      </c>
      <c r="U77" s="91"/>
    </row>
    <row r="78" spans="1:21" x14ac:dyDescent="0.15">
      <c r="A78" s="2" t="s">
        <v>13</v>
      </c>
      <c r="B78" s="18">
        <f>ROUND(VLOOKUP(B$63&amp;"_1",管理者用人口入力シート!A:X,D78,FALSE),0)</f>
        <v>44</v>
      </c>
      <c r="C78" s="18">
        <f>ROUND(VLOOKUP(B$63&amp;"_2",管理者用人口入力シート!A:X,D78,FALSE),0)</f>
        <v>44</v>
      </c>
      <c r="D78" s="2">
        <v>17</v>
      </c>
      <c r="G78" s="2" t="s">
        <v>9</v>
      </c>
      <c r="H78" s="18">
        <f>ROUND(VLOOKUP(H$67&amp;"_1",管理者用人口入力シート!BH:CE,J78,FALSE),0)</f>
        <v>23</v>
      </c>
      <c r="I78" s="18">
        <f>ROUND(VLOOKUP(H$67&amp;"_2",管理者用人口入力シート!BH:CE,J78,FALSE),0)</f>
        <v>27</v>
      </c>
      <c r="J78" s="2">
        <v>13</v>
      </c>
      <c r="K78" s="13"/>
      <c r="N78" s="2" t="s">
        <v>9</v>
      </c>
      <c r="O78" s="18">
        <f>ROUND(VLOOKUP(O$67&amp;"_1",管理者用人口入力シート!CO:DL,Q78,FALSE),0)</f>
        <v>23</v>
      </c>
      <c r="P78" s="18">
        <f>ROUND(VLOOKUP(O$67&amp;"_2",管理者用人口入力シート!CO:DL,Q78,FALSE),0)</f>
        <v>27</v>
      </c>
      <c r="Q78" s="2">
        <v>13</v>
      </c>
      <c r="U78" s="91"/>
    </row>
    <row r="79" spans="1:21" x14ac:dyDescent="0.15">
      <c r="A79" s="2" t="s">
        <v>14</v>
      </c>
      <c r="B79" s="18">
        <f>ROUND(VLOOKUP(B$63&amp;"_1",管理者用人口入力シート!A:X,D79,FALSE),0)</f>
        <v>32</v>
      </c>
      <c r="C79" s="18">
        <f>ROUND(VLOOKUP(B$63&amp;"_2",管理者用人口入力シート!A:X,D79,FALSE),0)</f>
        <v>47</v>
      </c>
      <c r="D79" s="2">
        <v>18</v>
      </c>
      <c r="G79" s="2" t="s">
        <v>10</v>
      </c>
      <c r="H79" s="18">
        <f>ROUND(VLOOKUP(H$67&amp;"_1",管理者用人口入力シート!BH:CE,J79,FALSE),0)</f>
        <v>23</v>
      </c>
      <c r="I79" s="18">
        <f>ROUND(VLOOKUP(H$67&amp;"_2",管理者用人口入力シート!BH:CE,J79,FALSE),0)</f>
        <v>30</v>
      </c>
      <c r="J79" s="2">
        <v>14</v>
      </c>
      <c r="K79" s="13"/>
      <c r="N79" s="2" t="s">
        <v>10</v>
      </c>
      <c r="O79" s="18">
        <f>ROUND(VLOOKUP(O$67&amp;"_1",管理者用人口入力シート!CO:DL,Q79,FALSE),0)</f>
        <v>23</v>
      </c>
      <c r="P79" s="18">
        <f>ROUND(VLOOKUP(O$67&amp;"_2",管理者用人口入力シート!CO:DL,Q79,FALSE),0)</f>
        <v>30</v>
      </c>
      <c r="Q79" s="2">
        <v>14</v>
      </c>
      <c r="U79" s="91"/>
    </row>
    <row r="80" spans="1:21" x14ac:dyDescent="0.15">
      <c r="A80" s="2" t="s">
        <v>15</v>
      </c>
      <c r="B80" s="18">
        <f>ROUND(VLOOKUP(B$63&amp;"_1",管理者用人口入力シート!A:X,D80,FALSE),0)</f>
        <v>38</v>
      </c>
      <c r="C80" s="18">
        <f>ROUND(VLOOKUP(B$63&amp;"_2",管理者用人口入力シート!A:X,D80,FALSE),0)</f>
        <v>40</v>
      </c>
      <c r="D80" s="2">
        <v>19</v>
      </c>
      <c r="G80" s="2" t="s">
        <v>11</v>
      </c>
      <c r="H80" s="18">
        <f>ROUND(VLOOKUP(H$67&amp;"_1",管理者用人口入力シート!BH:CE,J80,FALSE),0)</f>
        <v>28</v>
      </c>
      <c r="I80" s="18">
        <f>ROUND(VLOOKUP(H$67&amp;"_2",管理者用人口入力シート!BH:CE,J80,FALSE),0)</f>
        <v>27</v>
      </c>
      <c r="J80" s="2">
        <v>15</v>
      </c>
      <c r="K80" s="13"/>
      <c r="N80" s="2" t="s">
        <v>11</v>
      </c>
      <c r="O80" s="18">
        <f>ROUND(VLOOKUP(O$67&amp;"_1",管理者用人口入力シート!CO:DL,Q80,FALSE),0)</f>
        <v>28</v>
      </c>
      <c r="P80" s="18">
        <f>ROUND(VLOOKUP(O$67&amp;"_2",管理者用人口入力シート!CO:DL,Q80,FALSE),0)</f>
        <v>27</v>
      </c>
      <c r="Q80" s="2">
        <v>15</v>
      </c>
      <c r="U80" s="91"/>
    </row>
    <row r="81" spans="1:21" x14ac:dyDescent="0.15">
      <c r="A81" s="2" t="s">
        <v>16</v>
      </c>
      <c r="B81" s="18">
        <f>ROUND(VLOOKUP(B$63&amp;"_1",管理者用人口入力シート!A:X,D81,FALSE),0)</f>
        <v>29</v>
      </c>
      <c r="C81" s="18">
        <f>ROUND(VLOOKUP(B$63&amp;"_2",管理者用人口入力シート!A:X,D81,FALSE),0)</f>
        <v>44</v>
      </c>
      <c r="D81" s="2">
        <v>20</v>
      </c>
      <c r="G81" s="2" t="s">
        <v>12</v>
      </c>
      <c r="H81" s="18">
        <f>ROUND(VLOOKUP(H$67&amp;"_1",管理者用人口入力シート!BH:CE,J81,FALSE),0)</f>
        <v>29</v>
      </c>
      <c r="I81" s="18">
        <f>ROUND(VLOOKUP(H$67&amp;"_2",管理者用人口入力シート!BH:CE,J81,FALSE),0)</f>
        <v>33</v>
      </c>
      <c r="J81" s="2">
        <v>16</v>
      </c>
      <c r="K81" s="13"/>
      <c r="N81" s="2" t="s">
        <v>12</v>
      </c>
      <c r="O81" s="18">
        <f>ROUND(VLOOKUP(O$67&amp;"_1",管理者用人口入力シート!CO:DL,Q81,FALSE),0)</f>
        <v>29</v>
      </c>
      <c r="P81" s="18">
        <f>ROUND(VLOOKUP(O$67&amp;"_2",管理者用人口入力シート!CO:DL,Q81,FALSE),0)</f>
        <v>33</v>
      </c>
      <c r="Q81" s="2">
        <v>16</v>
      </c>
      <c r="U81" s="91"/>
    </row>
    <row r="82" spans="1:21" x14ac:dyDescent="0.15">
      <c r="A82" s="2" t="s">
        <v>17</v>
      </c>
      <c r="B82" s="18">
        <f>ROUND(VLOOKUP(B$63&amp;"_1",管理者用人口入力シート!A:X,D82,FALSE),0)</f>
        <v>19</v>
      </c>
      <c r="C82" s="18">
        <f>ROUND(VLOOKUP(B$63&amp;"_2",管理者用人口入力シート!A:X,D82,FALSE),0)</f>
        <v>32</v>
      </c>
      <c r="D82" s="2">
        <v>21</v>
      </c>
      <c r="G82" s="2" t="s">
        <v>13</v>
      </c>
      <c r="H82" s="18">
        <f>ROUND(VLOOKUP(H$67&amp;"_1",管理者用人口入力シート!BH:CE,J82,FALSE),0)</f>
        <v>37</v>
      </c>
      <c r="I82" s="18">
        <f>ROUND(VLOOKUP(H$67&amp;"_2",管理者用人口入力シート!BH:CE,J82,FALSE),0)</f>
        <v>40</v>
      </c>
      <c r="J82" s="2">
        <v>17</v>
      </c>
      <c r="K82" s="13"/>
      <c r="N82" s="2" t="s">
        <v>13</v>
      </c>
      <c r="O82" s="18">
        <f>ROUND(VLOOKUP(O$67&amp;"_1",管理者用人口入力シート!CO:DL,Q82,FALSE),0)</f>
        <v>37</v>
      </c>
      <c r="P82" s="18">
        <f>ROUND(VLOOKUP(O$67&amp;"_2",管理者用人口入力シート!CO:DL,Q82,FALSE),0)</f>
        <v>40</v>
      </c>
      <c r="Q82" s="2">
        <v>17</v>
      </c>
      <c r="U82" s="91"/>
    </row>
    <row r="83" spans="1:21" x14ac:dyDescent="0.15">
      <c r="A83" s="2" t="s">
        <v>18</v>
      </c>
      <c r="B83" s="18">
        <f>ROUND(VLOOKUP(B$63&amp;"_1",管理者用人口入力シート!A:X,D83,FALSE),0)</f>
        <v>4</v>
      </c>
      <c r="C83" s="18">
        <f>ROUND(VLOOKUP(B$63&amp;"_2",管理者用人口入力シート!A:X,D83,FALSE),0)</f>
        <v>22</v>
      </c>
      <c r="D83" s="2">
        <v>22</v>
      </c>
      <c r="G83" s="2" t="s">
        <v>14</v>
      </c>
      <c r="H83" s="18">
        <f>ROUND(VLOOKUP(H$67&amp;"_1",管理者用人口入力シート!BH:CE,J83,FALSE),0)</f>
        <v>39</v>
      </c>
      <c r="I83" s="18">
        <f>ROUND(VLOOKUP(H$67&amp;"_2",管理者用人口入力シート!BH:CE,J83,FALSE),0)</f>
        <v>47</v>
      </c>
      <c r="J83" s="2">
        <v>18</v>
      </c>
      <c r="K83" s="13"/>
      <c r="N83" s="2" t="s">
        <v>14</v>
      </c>
      <c r="O83" s="18">
        <f>ROUND(VLOOKUP(O$67&amp;"_1",管理者用人口入力シート!CO:DL,Q83,FALSE),0)</f>
        <v>39</v>
      </c>
      <c r="P83" s="18">
        <f>ROUND(VLOOKUP(O$67&amp;"_2",管理者用人口入力シート!CO:DL,Q83,FALSE),0)</f>
        <v>47</v>
      </c>
      <c r="Q83" s="2">
        <v>18</v>
      </c>
      <c r="U83" s="91"/>
    </row>
    <row r="84" spans="1:21" x14ac:dyDescent="0.15">
      <c r="A84" s="2" t="s">
        <v>19</v>
      </c>
      <c r="B84" s="18">
        <f>ROUND(VLOOKUP(B$63&amp;"_1",管理者用人口入力シート!A:X,D84,FALSE),0)</f>
        <v>0</v>
      </c>
      <c r="C84" s="18">
        <f>ROUND(VLOOKUP(B$63&amp;"_2",管理者用人口入力シート!A:X,D84,FALSE),0)</f>
        <v>5</v>
      </c>
      <c r="D84" s="2">
        <v>23</v>
      </c>
      <c r="G84" s="2" t="s">
        <v>15</v>
      </c>
      <c r="H84" s="18">
        <f>ROUND(VLOOKUP(H$67&amp;"_1",管理者用人口入力シート!BH:CE,J84,FALSE),0)</f>
        <v>40</v>
      </c>
      <c r="I84" s="18">
        <f>ROUND(VLOOKUP(H$67&amp;"_2",管理者用人口入力シート!BH:CE,J84,FALSE),0)</f>
        <v>41</v>
      </c>
      <c r="J84" s="2">
        <v>19</v>
      </c>
      <c r="K84" s="13"/>
      <c r="N84" s="2" t="s">
        <v>15</v>
      </c>
      <c r="O84" s="18">
        <f>ROUND(VLOOKUP(O$67&amp;"_1",管理者用人口入力シート!CO:DL,Q84,FALSE),0)</f>
        <v>40</v>
      </c>
      <c r="P84" s="18">
        <f>ROUND(VLOOKUP(O$67&amp;"_2",管理者用人口入力シート!CO:DL,Q84,FALSE),0)</f>
        <v>41</v>
      </c>
      <c r="Q84" s="2">
        <v>19</v>
      </c>
      <c r="U84" s="91"/>
    </row>
    <row r="85" spans="1:21" x14ac:dyDescent="0.15">
      <c r="A85" s="2" t="s">
        <v>20</v>
      </c>
      <c r="B85" s="18">
        <f>ROUND(VLOOKUP(B$63&amp;"_1",管理者用人口入力シート!A:X,D85,FALSE),0)</f>
        <v>0</v>
      </c>
      <c r="C85" s="18">
        <f>ROUND(VLOOKUP(B$63&amp;"_2",管理者用人口入力シート!A:X,D85,FALSE),0)</f>
        <v>0</v>
      </c>
      <c r="D85" s="2">
        <v>24</v>
      </c>
      <c r="G85" s="2" t="s">
        <v>16</v>
      </c>
      <c r="H85" s="18">
        <f>ROUND(VLOOKUP(H$67&amp;"_1",管理者用人口入力シート!BH:CE,J85,FALSE),0)</f>
        <v>24</v>
      </c>
      <c r="I85" s="18">
        <f>ROUND(VLOOKUP(H$67&amp;"_2",管理者用人口入力シート!BH:CE,J85,FALSE),0)</f>
        <v>41</v>
      </c>
      <c r="J85" s="2">
        <v>20</v>
      </c>
      <c r="K85" s="13"/>
      <c r="N85" s="2" t="s">
        <v>16</v>
      </c>
      <c r="O85" s="18">
        <f>ROUND(VLOOKUP(O$67&amp;"_1",管理者用人口入力シート!CO:DL,Q85,FALSE),0)</f>
        <v>24</v>
      </c>
      <c r="P85" s="18">
        <f>ROUND(VLOOKUP(O$67&amp;"_2",管理者用人口入力シート!CO:DL,Q85,FALSE),0)</f>
        <v>41</v>
      </c>
      <c r="Q85" s="2">
        <v>20</v>
      </c>
      <c r="U85" s="91"/>
    </row>
    <row r="86" spans="1:21" x14ac:dyDescent="0.15">
      <c r="G86" s="2" t="s">
        <v>17</v>
      </c>
      <c r="H86" s="18">
        <f>ROUND(VLOOKUP(H$67&amp;"_1",管理者用人口入力シート!BH:CE,J86,FALSE),0)</f>
        <v>21</v>
      </c>
      <c r="I86" s="18">
        <f>ROUND(VLOOKUP(H$67&amp;"_2",管理者用人口入力シート!BH:CE,J86,FALSE),0)</f>
        <v>30</v>
      </c>
      <c r="J86" s="2">
        <v>21</v>
      </c>
      <c r="K86" s="13"/>
      <c r="N86" s="2" t="s">
        <v>17</v>
      </c>
      <c r="O86" s="18">
        <f>ROUND(VLOOKUP(O$67&amp;"_1",管理者用人口入力シート!CO:DL,Q86,FALSE),0)</f>
        <v>21</v>
      </c>
      <c r="P86" s="18">
        <f>ROUND(VLOOKUP(O$67&amp;"_2",管理者用人口入力シート!CO:DL,Q86,FALSE),0)</f>
        <v>30</v>
      </c>
      <c r="Q86" s="2">
        <v>21</v>
      </c>
      <c r="U86" s="91"/>
    </row>
    <row r="87" spans="1:21" x14ac:dyDescent="0.15">
      <c r="A87" s="2" t="s">
        <v>62</v>
      </c>
      <c r="B87" s="342">
        <f>管理者入力シート!B5</f>
        <v>2020</v>
      </c>
      <c r="C87" s="343"/>
      <c r="D87" s="2" t="s">
        <v>114</v>
      </c>
      <c r="G87" s="2" t="s">
        <v>18</v>
      </c>
      <c r="H87" s="18">
        <f>ROUND(VLOOKUP(H$67&amp;"_1",管理者用人口入力シート!BH:CE,J87,FALSE),0)</f>
        <v>10</v>
      </c>
      <c r="I87" s="18">
        <f>ROUND(VLOOKUP(H$67&amp;"_2",管理者用人口入力シート!BH:CE,J87,FALSE),0)</f>
        <v>22</v>
      </c>
      <c r="J87" s="2">
        <v>22</v>
      </c>
      <c r="K87" s="13"/>
      <c r="N87" s="2" t="s">
        <v>18</v>
      </c>
      <c r="O87" s="18">
        <f>ROUND(VLOOKUP(O$67&amp;"_1",管理者用人口入力シート!CO:DL,Q87,FALSE),0)</f>
        <v>10</v>
      </c>
      <c r="P87" s="18">
        <f>ROUND(VLOOKUP(O$67&amp;"_2",管理者用人口入力シート!CO:DL,Q87,FALSE),0)</f>
        <v>22</v>
      </c>
      <c r="Q87" s="2">
        <v>22</v>
      </c>
      <c r="U87" s="91"/>
    </row>
    <row r="88" spans="1:21" x14ac:dyDescent="0.15">
      <c r="A88" s="2" t="s">
        <v>115</v>
      </c>
      <c r="B88" s="19" t="s">
        <v>21</v>
      </c>
      <c r="C88" s="19" t="s">
        <v>22</v>
      </c>
      <c r="G88" s="2" t="s">
        <v>19</v>
      </c>
      <c r="H88" s="18">
        <f>ROUND(VLOOKUP(H$67&amp;"_1",管理者用人口入力シート!BH:CE,J88,FALSE),0)</f>
        <v>0</v>
      </c>
      <c r="I88" s="18">
        <f>ROUND(VLOOKUP(H$67&amp;"_2",管理者用人口入力シート!BH:CE,J88,FALSE),0)</f>
        <v>5</v>
      </c>
      <c r="J88" s="2">
        <v>23</v>
      </c>
      <c r="K88" s="13"/>
      <c r="N88" s="2" t="s">
        <v>19</v>
      </c>
      <c r="O88" s="18">
        <f>ROUND(VLOOKUP(O$67&amp;"_1",管理者用人口入力シート!CO:DL,Q88,FALSE),0)</f>
        <v>0</v>
      </c>
      <c r="P88" s="18">
        <f>ROUND(VLOOKUP(O$67&amp;"_2",管理者用人口入力シート!CO:DL,Q88,FALSE),0)</f>
        <v>5</v>
      </c>
      <c r="Q88" s="2">
        <v>23</v>
      </c>
      <c r="U88" s="91"/>
    </row>
    <row r="89" spans="1:21" x14ac:dyDescent="0.15">
      <c r="A89" s="2" t="s">
        <v>0</v>
      </c>
      <c r="B89" s="18">
        <f>ROUND(VLOOKUP(B$87&amp;"_1",管理者用人口入力シート!A:X,D89,FALSE),0)</f>
        <v>11</v>
      </c>
      <c r="C89" s="18">
        <f>ROUND(VLOOKUP(B$87&amp;"_2",管理者用人口入力シート!A:X,D89,FALSE),0)</f>
        <v>13</v>
      </c>
      <c r="D89" s="2">
        <v>4</v>
      </c>
      <c r="G89" s="2" t="s">
        <v>20</v>
      </c>
      <c r="H89" s="18">
        <f>ROUND(VLOOKUP(H$67&amp;"_1",管理者用人口入力シート!BH:CE,J89,FALSE),0)</f>
        <v>0</v>
      </c>
      <c r="I89" s="18">
        <f>ROUND(VLOOKUP(H$67&amp;"_2",管理者用人口入力シート!BH:CE,J89,FALSE),0)</f>
        <v>0</v>
      </c>
      <c r="J89" s="2">
        <v>24</v>
      </c>
      <c r="K89" s="13"/>
      <c r="N89" s="2" t="s">
        <v>20</v>
      </c>
      <c r="O89" s="18">
        <f>ROUND(VLOOKUP(O$67&amp;"_1",管理者用人口入力シート!CO:DL,Q89,FALSE),0)</f>
        <v>0</v>
      </c>
      <c r="P89" s="18">
        <f>ROUND(VLOOKUP(O$67&amp;"_2",管理者用人口入力シート!CO:DL,Q89,FALSE),0)</f>
        <v>0</v>
      </c>
      <c r="Q89" s="2">
        <v>24</v>
      </c>
      <c r="U89" s="91"/>
    </row>
    <row r="90" spans="1:21" x14ac:dyDescent="0.15">
      <c r="A90" s="2" t="s">
        <v>1</v>
      </c>
      <c r="B90" s="18">
        <f>ROUND(VLOOKUP(B$87&amp;"_1",管理者用人口入力シート!A:X,D90,FALSE),0)</f>
        <v>19</v>
      </c>
      <c r="C90" s="18">
        <f>ROUND(VLOOKUP(B$87&amp;"_2",管理者用人口入力シート!A:X,D90,FALSE),0)</f>
        <v>17</v>
      </c>
      <c r="D90" s="2">
        <v>5</v>
      </c>
    </row>
    <row r="91" spans="1:21" x14ac:dyDescent="0.15">
      <c r="A91" s="2" t="s">
        <v>2</v>
      </c>
      <c r="B91" s="18">
        <f>ROUND(VLOOKUP(B$87&amp;"_1",管理者用人口入力シート!A:X,D91,FALSE),0)</f>
        <v>20</v>
      </c>
      <c r="C91" s="18">
        <f>ROUND(VLOOKUP(B$87&amp;"_2",管理者用人口入力シート!A:X,D91,FALSE),0)</f>
        <v>20</v>
      </c>
      <c r="D91" s="2">
        <v>6</v>
      </c>
      <c r="G91" s="2" t="s">
        <v>107</v>
      </c>
      <c r="H91" s="342">
        <f>管理者入力シート!B9</f>
        <v>2030</v>
      </c>
      <c r="I91" s="343"/>
      <c r="J91" s="2" t="s">
        <v>114</v>
      </c>
      <c r="K91" s="230"/>
      <c r="O91" s="342">
        <f>管理者入力シート!B9</f>
        <v>2030</v>
      </c>
      <c r="P91" s="343"/>
      <c r="Q91" s="2" t="s">
        <v>114</v>
      </c>
    </row>
    <row r="92" spans="1:21" x14ac:dyDescent="0.15">
      <c r="A92" s="2" t="s">
        <v>3</v>
      </c>
      <c r="B92" s="18">
        <f>ROUND(VLOOKUP(B$87&amp;"_1",管理者用人口入力シート!A:X,D92,FALSE),0)</f>
        <v>19</v>
      </c>
      <c r="C92" s="18">
        <f>ROUND(VLOOKUP(B$87&amp;"_2",管理者用人口入力シート!A:X,D92,FALSE),0)</f>
        <v>16</v>
      </c>
      <c r="D92" s="2">
        <v>7</v>
      </c>
      <c r="G92" s="2" t="s">
        <v>115</v>
      </c>
      <c r="H92" s="19" t="s">
        <v>243</v>
      </c>
      <c r="I92" s="19" t="s">
        <v>244</v>
      </c>
      <c r="K92" s="230"/>
      <c r="N92" s="2" t="s">
        <v>115</v>
      </c>
      <c r="O92" s="19" t="s">
        <v>21</v>
      </c>
      <c r="P92" s="19" t="s">
        <v>22</v>
      </c>
    </row>
    <row r="93" spans="1:21" x14ac:dyDescent="0.15">
      <c r="A93" s="2" t="s">
        <v>4</v>
      </c>
      <c r="B93" s="18">
        <f>ROUND(VLOOKUP(B$87&amp;"_1",管理者用人口入力シート!A:X,D93,FALSE),0)</f>
        <v>9</v>
      </c>
      <c r="C93" s="18">
        <f>ROUND(VLOOKUP(B$87&amp;"_2",管理者用人口入力シート!A:X,D93,FALSE),0)</f>
        <v>16</v>
      </c>
      <c r="D93" s="2">
        <v>8</v>
      </c>
      <c r="G93" s="2" t="s">
        <v>0</v>
      </c>
      <c r="H93" s="18">
        <f>ROUND(VLOOKUP(H$91&amp;"_1",管理者用人口入力シート!BH:CE,J93,FALSE),0)</f>
        <v>8</v>
      </c>
      <c r="I93" s="18">
        <f>ROUND(VLOOKUP(H$91&amp;"_2",管理者用人口入力シート!BH:CE,J93,FALSE),0)</f>
        <v>9</v>
      </c>
      <c r="J93" s="2">
        <v>4</v>
      </c>
      <c r="K93" s="13"/>
      <c r="N93" s="2" t="s">
        <v>0</v>
      </c>
      <c r="O93" s="18">
        <f>ROUND(VLOOKUP(O$91&amp;"_1",管理者用人口入力シート!CO:DL,Q93,FALSE),0)</f>
        <v>9</v>
      </c>
      <c r="P93" s="18">
        <f>ROUND(VLOOKUP(O$91&amp;"_2",管理者用人口入力シート!CO:DL,Q93,FALSE),0)</f>
        <v>11</v>
      </c>
      <c r="Q93" s="2">
        <v>4</v>
      </c>
      <c r="T93" s="91"/>
    </row>
    <row r="94" spans="1:21" x14ac:dyDescent="0.15">
      <c r="A94" s="2" t="s">
        <v>5</v>
      </c>
      <c r="B94" s="18">
        <f>ROUND(VLOOKUP(B$87&amp;"_1",管理者用人口入力シート!A:X,D94,FALSE),0)</f>
        <v>11</v>
      </c>
      <c r="C94" s="18">
        <f>ROUND(VLOOKUP(B$87&amp;"_2",管理者用人口入力シート!A:X,D94,FALSE),0)</f>
        <v>11</v>
      </c>
      <c r="D94" s="2">
        <v>9</v>
      </c>
      <c r="G94" s="2" t="s">
        <v>1</v>
      </c>
      <c r="H94" s="18">
        <f>ROUND(VLOOKUP(H$91&amp;"_1",管理者用人口入力シート!BH:CE,J94,FALSE),0)</f>
        <v>8</v>
      </c>
      <c r="I94" s="18">
        <f>ROUND(VLOOKUP(H$91&amp;"_2",管理者用人口入力シート!BH:CE,J94,FALSE),0)</f>
        <v>12</v>
      </c>
      <c r="J94" s="2">
        <v>5</v>
      </c>
      <c r="K94" s="13"/>
      <c r="N94" s="2" t="s">
        <v>1</v>
      </c>
      <c r="O94" s="18">
        <f>ROUND(VLOOKUP(O$91&amp;"_1",管理者用人口入力シート!CO:DL,Q94,FALSE),0)</f>
        <v>9</v>
      </c>
      <c r="P94" s="18">
        <f>ROUND(VLOOKUP(O$91&amp;"_2",管理者用人口入力シート!CO:DL,Q94,FALSE),0)</f>
        <v>13</v>
      </c>
      <c r="Q94" s="2">
        <v>5</v>
      </c>
      <c r="T94" s="91"/>
    </row>
    <row r="95" spans="1:21" x14ac:dyDescent="0.15">
      <c r="A95" s="2" t="s">
        <v>6</v>
      </c>
      <c r="B95" s="18">
        <f>ROUND(VLOOKUP(B$87&amp;"_1",管理者用人口入力シート!A:X,D95,FALSE),0)</f>
        <v>15</v>
      </c>
      <c r="C95" s="18">
        <f>ROUND(VLOOKUP(B$87&amp;"_2",管理者用人口入力シート!A:X,D95,FALSE),0)</f>
        <v>13</v>
      </c>
      <c r="D95" s="2">
        <v>10</v>
      </c>
      <c r="G95" s="2" t="s">
        <v>2</v>
      </c>
      <c r="H95" s="18">
        <f>ROUND(VLOOKUP(H$91&amp;"_1",管理者用人口入力シート!BH:CE,J95,FALSE),0)</f>
        <v>10</v>
      </c>
      <c r="I95" s="18">
        <f>ROUND(VLOOKUP(H$91&amp;"_2",管理者用人口入力シート!BH:CE,J95,FALSE),0)</f>
        <v>17</v>
      </c>
      <c r="J95" s="2">
        <v>6</v>
      </c>
      <c r="K95" s="13"/>
      <c r="N95" s="2" t="s">
        <v>2</v>
      </c>
      <c r="O95" s="18">
        <f>ROUND(VLOOKUP(O$91&amp;"_1",管理者用人口入力シート!CO:DL,Q95,FALSE),0)</f>
        <v>11</v>
      </c>
      <c r="P95" s="18">
        <f>ROUND(VLOOKUP(O$91&amp;"_2",管理者用人口入力シート!CO:DL,Q95,FALSE),0)</f>
        <v>18</v>
      </c>
      <c r="Q95" s="2">
        <v>6</v>
      </c>
      <c r="T95" s="91"/>
    </row>
    <row r="96" spans="1:21" x14ac:dyDescent="0.15">
      <c r="A96" s="2" t="s">
        <v>7</v>
      </c>
      <c r="B96" s="18">
        <f>ROUND(VLOOKUP(B$87&amp;"_1",管理者用人口入力シート!A:X,D96,FALSE),0)</f>
        <v>20</v>
      </c>
      <c r="C96" s="18">
        <f>ROUND(VLOOKUP(B$87&amp;"_2",管理者用人口入力シート!A:X,D96,FALSE),0)</f>
        <v>18</v>
      </c>
      <c r="D96" s="2">
        <v>11</v>
      </c>
      <c r="G96" s="2" t="s">
        <v>3</v>
      </c>
      <c r="H96" s="18">
        <f>ROUND(VLOOKUP(H$91&amp;"_1",管理者用人口入力シート!BH:CE,J96,FALSE),0)</f>
        <v>15</v>
      </c>
      <c r="I96" s="18">
        <f>ROUND(VLOOKUP(H$91&amp;"_2",管理者用人口入力シート!BH:CE,J96,FALSE),0)</f>
        <v>14</v>
      </c>
      <c r="J96" s="2">
        <v>7</v>
      </c>
      <c r="K96" s="13"/>
      <c r="N96" s="2" t="s">
        <v>3</v>
      </c>
      <c r="O96" s="18">
        <f>ROUND(VLOOKUP(O$91&amp;"_1",管理者用人口入力シート!CO:DL,Q96,FALSE),0)</f>
        <v>16</v>
      </c>
      <c r="P96" s="18">
        <f>ROUND(VLOOKUP(O$91&amp;"_2",管理者用人口入力シート!CO:DL,Q96,FALSE),0)</f>
        <v>15</v>
      </c>
      <c r="Q96" s="2">
        <v>7</v>
      </c>
      <c r="T96" s="91"/>
    </row>
    <row r="97" spans="1:20" x14ac:dyDescent="0.15">
      <c r="A97" s="2" t="s">
        <v>8</v>
      </c>
      <c r="B97" s="18">
        <f>ROUND(VLOOKUP(B$87&amp;"_1",管理者用人口入力シート!A:X,D97,FALSE),0)</f>
        <v>23</v>
      </c>
      <c r="C97" s="18">
        <f>ROUND(VLOOKUP(B$87&amp;"_2",管理者用人口入力シート!A:X,D97,FALSE),0)</f>
        <v>25</v>
      </c>
      <c r="D97" s="2">
        <v>12</v>
      </c>
      <c r="G97" s="2" t="s">
        <v>4</v>
      </c>
      <c r="H97" s="18">
        <f>ROUND(VLOOKUP(H$91&amp;"_1",管理者用人口入力シート!BH:CE,J97,FALSE),0)</f>
        <v>8</v>
      </c>
      <c r="I97" s="18">
        <f>ROUND(VLOOKUP(H$91&amp;"_2",管理者用人口入力シート!BH:CE,J97,FALSE),0)</f>
        <v>9</v>
      </c>
      <c r="J97" s="2">
        <v>8</v>
      </c>
      <c r="K97" s="13"/>
      <c r="N97" s="2" t="s">
        <v>4</v>
      </c>
      <c r="O97" s="18">
        <f>ROUND(VLOOKUP(O$91&amp;"_1",管理者用人口入力シート!CO:DL,Q97,FALSE),0)</f>
        <v>8</v>
      </c>
      <c r="P97" s="18">
        <f>ROUND(VLOOKUP(O$91&amp;"_2",管理者用人口入力シート!CO:DL,Q97,FALSE),0)</f>
        <v>9</v>
      </c>
      <c r="Q97" s="2">
        <v>8</v>
      </c>
      <c r="T97" s="91"/>
    </row>
    <row r="98" spans="1:20" x14ac:dyDescent="0.15">
      <c r="A98" s="2" t="s">
        <v>9</v>
      </c>
      <c r="B98" s="18">
        <f>ROUND(VLOOKUP(B$87&amp;"_1",管理者用人口入力シート!A:X,D98,FALSE),0)</f>
        <v>23</v>
      </c>
      <c r="C98" s="18">
        <f>ROUND(VLOOKUP(B$87&amp;"_2",管理者用人口入力シート!A:X,D98,FALSE),0)</f>
        <v>31</v>
      </c>
      <c r="D98" s="2">
        <v>13</v>
      </c>
      <c r="G98" s="2" t="s">
        <v>5</v>
      </c>
      <c r="H98" s="18">
        <f>ROUND(VLOOKUP(H$91&amp;"_1",管理者用人口入力シート!BH:CE,J98,FALSE),0)</f>
        <v>9</v>
      </c>
      <c r="I98" s="18">
        <f>ROUND(VLOOKUP(H$91&amp;"_2",管理者用人口入力シート!BH:CE,J98,FALSE),0)</f>
        <v>8</v>
      </c>
      <c r="J98" s="2">
        <v>9</v>
      </c>
      <c r="K98" s="13"/>
      <c r="N98" s="2" t="s">
        <v>5</v>
      </c>
      <c r="O98" s="18">
        <f>ROUND(VLOOKUP(O$91&amp;"_1",管理者用人口入力シート!CO:DL,Q98,FALSE),0)</f>
        <v>11</v>
      </c>
      <c r="P98" s="18">
        <f>ROUND(VLOOKUP(O$91&amp;"_2",管理者用人口入力シート!CO:DL,Q98,FALSE),0)</f>
        <v>10</v>
      </c>
      <c r="Q98" s="2">
        <v>9</v>
      </c>
      <c r="T98" s="91"/>
    </row>
    <row r="99" spans="1:20" x14ac:dyDescent="0.15">
      <c r="A99" s="2" t="s">
        <v>10</v>
      </c>
      <c r="B99" s="18">
        <f>ROUND(VLOOKUP(B$87&amp;"_1",管理者用人口入力シート!A:X,D99,FALSE),0)</f>
        <v>29</v>
      </c>
      <c r="C99" s="18">
        <f>ROUND(VLOOKUP(B$87&amp;"_2",管理者用人口入力シート!A:X,D99,FALSE),0)</f>
        <v>27</v>
      </c>
      <c r="D99" s="2">
        <v>14</v>
      </c>
      <c r="G99" s="2" t="s">
        <v>6</v>
      </c>
      <c r="H99" s="18">
        <f>ROUND(VLOOKUP(H$91&amp;"_1",管理者用人口入力シート!BH:CE,J99,FALSE),0)</f>
        <v>8</v>
      </c>
      <c r="I99" s="18">
        <f>ROUND(VLOOKUP(H$91&amp;"_2",管理者用人口入力シート!BH:CE,J99,FALSE),0)</f>
        <v>14</v>
      </c>
      <c r="J99" s="2">
        <v>10</v>
      </c>
      <c r="K99" s="13"/>
      <c r="N99" s="2" t="s">
        <v>6</v>
      </c>
      <c r="O99" s="18">
        <f>ROUND(VLOOKUP(O$91&amp;"_1",管理者用人口入力シート!CO:DL,Q99,FALSE),0)</f>
        <v>10</v>
      </c>
      <c r="P99" s="18">
        <f>ROUND(VLOOKUP(O$91&amp;"_2",管理者用人口入力シート!CO:DL,Q99,FALSE),0)</f>
        <v>16</v>
      </c>
      <c r="Q99" s="2">
        <v>10</v>
      </c>
      <c r="T99" s="91"/>
    </row>
    <row r="100" spans="1:20" x14ac:dyDescent="0.15">
      <c r="A100" s="2" t="s">
        <v>11</v>
      </c>
      <c r="B100" s="18">
        <f>ROUND(VLOOKUP(B$87&amp;"_1",管理者用人口入力シート!A:X,D100,FALSE),0)</f>
        <v>30</v>
      </c>
      <c r="C100" s="18">
        <f>ROUND(VLOOKUP(B$87&amp;"_2",管理者用人口入力シート!A:X,D100,FALSE),0)</f>
        <v>33</v>
      </c>
      <c r="D100" s="2">
        <v>15</v>
      </c>
      <c r="G100" s="2" t="s">
        <v>7</v>
      </c>
      <c r="H100" s="18">
        <f>ROUND(VLOOKUP(H$91&amp;"_1",管理者用人口入力シート!BH:CE,J100,FALSE),0)</f>
        <v>11</v>
      </c>
      <c r="I100" s="18">
        <f>ROUND(VLOOKUP(H$91&amp;"_2",管理者用人口入力シート!BH:CE,J100,FALSE),0)</f>
        <v>11</v>
      </c>
      <c r="J100" s="2">
        <v>11</v>
      </c>
      <c r="K100" s="13"/>
      <c r="N100" s="2" t="s">
        <v>7</v>
      </c>
      <c r="O100" s="18">
        <f>ROUND(VLOOKUP(O$91&amp;"_1",管理者用人口入力シート!CO:DL,Q100,FALSE),0)</f>
        <v>11</v>
      </c>
      <c r="P100" s="18">
        <f>ROUND(VLOOKUP(O$91&amp;"_2",管理者用人口入力シート!CO:DL,Q100,FALSE),0)</f>
        <v>11</v>
      </c>
      <c r="Q100" s="2">
        <v>11</v>
      </c>
      <c r="T100" s="91"/>
    </row>
    <row r="101" spans="1:20" x14ac:dyDescent="0.15">
      <c r="A101" s="2" t="s">
        <v>12</v>
      </c>
      <c r="B101" s="18">
        <f>ROUND(VLOOKUP(B$87&amp;"_1",管理者用人口入力シート!A:X,D101,FALSE),0)</f>
        <v>39</v>
      </c>
      <c r="C101" s="18">
        <f>ROUND(VLOOKUP(B$87&amp;"_2",管理者用人口入力シート!A:X,D101,FALSE),0)</f>
        <v>41</v>
      </c>
      <c r="D101" s="2">
        <v>16</v>
      </c>
      <c r="G101" s="2" t="s">
        <v>8</v>
      </c>
      <c r="H101" s="18">
        <f>ROUND(VLOOKUP(H$91&amp;"_1",管理者用人口入力シート!BH:CE,J101,FALSE),0)</f>
        <v>16</v>
      </c>
      <c r="I101" s="18">
        <f>ROUND(VLOOKUP(H$91&amp;"_2",管理者用人口入力シート!BH:CE,J101,FALSE),0)</f>
        <v>13</v>
      </c>
      <c r="J101" s="2">
        <v>12</v>
      </c>
      <c r="K101" s="13"/>
      <c r="N101" s="2" t="s">
        <v>8</v>
      </c>
      <c r="O101" s="18">
        <f>ROUND(VLOOKUP(O$91&amp;"_1",管理者用人口入力シート!CO:DL,Q101,FALSE),0)</f>
        <v>16</v>
      </c>
      <c r="P101" s="18">
        <f>ROUND(VLOOKUP(O$91&amp;"_2",管理者用人口入力シート!CO:DL,Q101,FALSE),0)</f>
        <v>14</v>
      </c>
      <c r="Q101" s="2">
        <v>12</v>
      </c>
      <c r="T101" s="91"/>
    </row>
    <row r="102" spans="1:20" x14ac:dyDescent="0.15">
      <c r="A102" s="2" t="s">
        <v>13</v>
      </c>
      <c r="B102" s="18">
        <f>ROUND(VLOOKUP(B$87&amp;"_1",管理者用人口入力シート!A:X,D102,FALSE),0)</f>
        <v>42</v>
      </c>
      <c r="C102" s="18">
        <f>ROUND(VLOOKUP(B$87&amp;"_2",管理者用人口入力シート!A:X,D102,FALSE),0)</f>
        <v>48</v>
      </c>
      <c r="D102" s="2">
        <v>17</v>
      </c>
      <c r="G102" s="2" t="s">
        <v>9</v>
      </c>
      <c r="H102" s="18">
        <f>ROUND(VLOOKUP(H$91&amp;"_1",管理者用人口入力シート!BH:CE,J102,FALSE),0)</f>
        <v>21</v>
      </c>
      <c r="I102" s="18">
        <f>ROUND(VLOOKUP(H$91&amp;"_2",管理者用人口入力シート!BH:CE,J102,FALSE),0)</f>
        <v>20</v>
      </c>
      <c r="J102" s="2">
        <v>13</v>
      </c>
      <c r="K102" s="13"/>
      <c r="N102" s="2" t="s">
        <v>9</v>
      </c>
      <c r="O102" s="18">
        <f>ROUND(VLOOKUP(O$91&amp;"_1",管理者用人口入力シート!CO:DL,Q102,FALSE),0)</f>
        <v>21</v>
      </c>
      <c r="P102" s="18">
        <f>ROUND(VLOOKUP(O$91&amp;"_2",管理者用人口入力シート!CO:DL,Q102,FALSE),0)</f>
        <v>21</v>
      </c>
      <c r="Q102" s="2">
        <v>13</v>
      </c>
      <c r="T102" s="91"/>
    </row>
    <row r="103" spans="1:20" x14ac:dyDescent="0.15">
      <c r="A103" s="2" t="s">
        <v>14</v>
      </c>
      <c r="B103" s="18">
        <f>ROUND(VLOOKUP(B$87&amp;"_1",管理者用人口入力シート!A:X,D103,FALSE),0)</f>
        <v>42</v>
      </c>
      <c r="C103" s="18">
        <f>ROUND(VLOOKUP(B$87&amp;"_2",管理者用人口入力シート!A:X,D103,FALSE),0)</f>
        <v>44</v>
      </c>
      <c r="D103" s="2">
        <v>18</v>
      </c>
      <c r="G103" s="2" t="s">
        <v>10</v>
      </c>
      <c r="H103" s="18">
        <f>ROUND(VLOOKUP(H$91&amp;"_1",管理者用人口入力シート!BH:CE,J103,FALSE),0)</f>
        <v>23</v>
      </c>
      <c r="I103" s="18">
        <f>ROUND(VLOOKUP(H$91&amp;"_2",管理者用人口入力シート!BH:CE,J103,FALSE),0)</f>
        <v>26</v>
      </c>
      <c r="J103" s="2">
        <v>14</v>
      </c>
      <c r="K103" s="13"/>
      <c r="N103" s="2" t="s">
        <v>10</v>
      </c>
      <c r="O103" s="18">
        <f>ROUND(VLOOKUP(O$91&amp;"_1",管理者用人口入力シート!CO:DL,Q103,FALSE),0)</f>
        <v>23</v>
      </c>
      <c r="P103" s="18">
        <f>ROUND(VLOOKUP(O$91&amp;"_2",管理者用人口入力シート!CO:DL,Q103,FALSE),0)</f>
        <v>26</v>
      </c>
      <c r="Q103" s="2">
        <v>14</v>
      </c>
      <c r="T103" s="91"/>
    </row>
    <row r="104" spans="1:20" x14ac:dyDescent="0.15">
      <c r="A104" s="2" t="s">
        <v>15</v>
      </c>
      <c r="B104" s="18">
        <f>ROUND(VLOOKUP(B$87&amp;"_1",管理者用人口入力シート!A:X,D104,FALSE),0)</f>
        <v>31</v>
      </c>
      <c r="C104" s="18">
        <f>ROUND(VLOOKUP(B$87&amp;"_2",管理者用人口入力シート!A:X,D104,FALSE),0)</f>
        <v>43</v>
      </c>
      <c r="D104" s="2">
        <v>19</v>
      </c>
      <c r="G104" s="2" t="s">
        <v>11</v>
      </c>
      <c r="H104" s="18">
        <f>ROUND(VLOOKUP(H$91&amp;"_1",管理者用人口入力シート!BH:CE,J104,FALSE),0)</f>
        <v>23</v>
      </c>
      <c r="I104" s="18">
        <f>ROUND(VLOOKUP(H$91&amp;"_2",管理者用人口入力シート!BH:CE,J104,FALSE),0)</f>
        <v>31</v>
      </c>
      <c r="J104" s="2">
        <v>15</v>
      </c>
      <c r="K104" s="13"/>
      <c r="N104" s="2" t="s">
        <v>11</v>
      </c>
      <c r="O104" s="18">
        <f>ROUND(VLOOKUP(O$91&amp;"_1",管理者用人口入力シート!CO:DL,Q104,FALSE),0)</f>
        <v>23</v>
      </c>
      <c r="P104" s="18">
        <f>ROUND(VLOOKUP(O$91&amp;"_2",管理者用人口入力シート!CO:DL,Q104,FALSE),0)</f>
        <v>31</v>
      </c>
      <c r="Q104" s="2">
        <v>15</v>
      </c>
      <c r="T104" s="91"/>
    </row>
    <row r="105" spans="1:20" x14ac:dyDescent="0.15">
      <c r="A105" s="2" t="s">
        <v>16</v>
      </c>
      <c r="B105" s="18">
        <f>ROUND(VLOOKUP(B$87&amp;"_1",管理者用人口入力シート!A:X,D105,FALSE),0)</f>
        <v>29</v>
      </c>
      <c r="C105" s="18">
        <f>ROUND(VLOOKUP(B$87&amp;"_2",管理者用人口入力シート!A:X,D105,FALSE),0)</f>
        <v>38</v>
      </c>
      <c r="D105" s="2">
        <v>20</v>
      </c>
      <c r="G105" s="2" t="s">
        <v>12</v>
      </c>
      <c r="H105" s="18">
        <f>ROUND(VLOOKUP(H$91&amp;"_1",管理者用人口入力シート!BH:CE,J105,FALSE),0)</f>
        <v>27</v>
      </c>
      <c r="I105" s="18">
        <f>ROUND(VLOOKUP(H$91&amp;"_2",管理者用人口入力シート!BH:CE,J105,FALSE),0)</f>
        <v>27</v>
      </c>
      <c r="J105" s="2">
        <v>16</v>
      </c>
      <c r="K105" s="13"/>
      <c r="N105" s="2" t="s">
        <v>12</v>
      </c>
      <c r="O105" s="18">
        <f>ROUND(VLOOKUP(O$91&amp;"_1",管理者用人口入力シート!CO:DL,Q105,FALSE),0)</f>
        <v>27</v>
      </c>
      <c r="P105" s="18">
        <f>ROUND(VLOOKUP(O$91&amp;"_2",管理者用人口入力シート!CO:DL,Q105,FALSE),0)</f>
        <v>27</v>
      </c>
      <c r="Q105" s="2">
        <v>16</v>
      </c>
      <c r="T105" s="91"/>
    </row>
    <row r="106" spans="1:20" x14ac:dyDescent="0.15">
      <c r="A106" s="2" t="s">
        <v>17</v>
      </c>
      <c r="B106" s="18">
        <f>ROUND(VLOOKUP(B$87&amp;"_1",管理者用人口入力シート!A:X,D106,FALSE),0)</f>
        <v>22</v>
      </c>
      <c r="C106" s="18">
        <f>ROUND(VLOOKUP(B$87&amp;"_2",管理者用人口入力シート!A:X,D106,FALSE),0)</f>
        <v>33</v>
      </c>
      <c r="D106" s="2">
        <v>21</v>
      </c>
      <c r="G106" s="2" t="s">
        <v>13</v>
      </c>
      <c r="H106" s="18">
        <f>ROUND(VLOOKUP(H$91&amp;"_1",管理者用人口入力シート!BH:CE,J106,FALSE),0)</f>
        <v>28</v>
      </c>
      <c r="I106" s="18">
        <f>ROUND(VLOOKUP(H$91&amp;"_2",管理者用人口入力シート!BH:CE,J106,FALSE),0)</f>
        <v>33</v>
      </c>
      <c r="J106" s="2">
        <v>17</v>
      </c>
      <c r="K106" s="13"/>
      <c r="N106" s="2" t="s">
        <v>13</v>
      </c>
      <c r="O106" s="18">
        <f>ROUND(VLOOKUP(O$91&amp;"_1",管理者用人口入力シート!CO:DL,Q106,FALSE),0)</f>
        <v>28</v>
      </c>
      <c r="P106" s="18">
        <f>ROUND(VLOOKUP(O$91&amp;"_2",管理者用人口入力シート!CO:DL,Q106,FALSE),0)</f>
        <v>33</v>
      </c>
      <c r="Q106" s="2">
        <v>17</v>
      </c>
      <c r="T106" s="91"/>
    </row>
    <row r="107" spans="1:20" x14ac:dyDescent="0.15">
      <c r="A107" s="2" t="s">
        <v>18</v>
      </c>
      <c r="B107" s="18">
        <f>ROUND(VLOOKUP(B$87&amp;"_1",管理者用人口入力シート!A:X,D107,FALSE),0)</f>
        <v>10</v>
      </c>
      <c r="C107" s="18">
        <f>ROUND(VLOOKUP(B$87&amp;"_2",管理者用人口入力シート!A:X,D107,FALSE),0)</f>
        <v>17</v>
      </c>
      <c r="D107" s="2">
        <v>22</v>
      </c>
      <c r="G107" s="2" t="s">
        <v>14</v>
      </c>
      <c r="H107" s="18">
        <f>ROUND(VLOOKUP(H$91&amp;"_1",管理者用人口入力シート!BH:CE,J107,FALSE),0)</f>
        <v>34</v>
      </c>
      <c r="I107" s="18">
        <f>ROUND(VLOOKUP(H$91&amp;"_2",管理者用人口入力シート!BH:CE,J107,FALSE),0)</f>
        <v>40</v>
      </c>
      <c r="J107" s="2">
        <v>18</v>
      </c>
      <c r="K107" s="13"/>
      <c r="N107" s="2" t="s">
        <v>14</v>
      </c>
      <c r="O107" s="18">
        <f>ROUND(VLOOKUP(O$91&amp;"_1",管理者用人口入力シート!CO:DL,Q107,FALSE),0)</f>
        <v>34</v>
      </c>
      <c r="P107" s="18">
        <f>ROUND(VLOOKUP(O$91&amp;"_2",管理者用人口入力シート!CO:DL,Q107,FALSE),0)</f>
        <v>40</v>
      </c>
      <c r="Q107" s="2">
        <v>18</v>
      </c>
      <c r="T107" s="91"/>
    </row>
    <row r="108" spans="1:20" x14ac:dyDescent="0.15">
      <c r="A108" s="2" t="s">
        <v>19</v>
      </c>
      <c r="B108" s="18">
        <f>ROUND(VLOOKUP(B$87&amp;"_1",管理者用人口入力シート!A:X,D108,FALSE),0)</f>
        <v>0</v>
      </c>
      <c r="C108" s="18">
        <f>ROUND(VLOOKUP(B$87&amp;"_2",管理者用人口入力シート!A:X,D108,FALSE),0)</f>
        <v>6</v>
      </c>
      <c r="D108" s="2">
        <v>23</v>
      </c>
      <c r="G108" s="2" t="s">
        <v>15</v>
      </c>
      <c r="H108" s="18">
        <f>ROUND(VLOOKUP(H$91&amp;"_1",管理者用人口入力シート!BH:CE,J108,FALSE),0)</f>
        <v>37</v>
      </c>
      <c r="I108" s="18">
        <f>ROUND(VLOOKUP(H$91&amp;"_2",管理者用人口入力シート!BH:CE,J108,FALSE),0)</f>
        <v>44</v>
      </c>
      <c r="J108" s="2">
        <v>19</v>
      </c>
      <c r="K108" s="13"/>
      <c r="N108" s="2" t="s">
        <v>15</v>
      </c>
      <c r="O108" s="18">
        <f>ROUND(VLOOKUP(O$91&amp;"_1",管理者用人口入力シート!CO:DL,Q108,FALSE),0)</f>
        <v>37</v>
      </c>
      <c r="P108" s="18">
        <f>ROUND(VLOOKUP(O$91&amp;"_2",管理者用人口入力シート!CO:DL,Q108,FALSE),0)</f>
        <v>44</v>
      </c>
      <c r="Q108" s="2">
        <v>19</v>
      </c>
      <c r="T108" s="91"/>
    </row>
    <row r="109" spans="1:20" x14ac:dyDescent="0.15">
      <c r="A109" s="2" t="s">
        <v>20</v>
      </c>
      <c r="B109" s="18">
        <f>ROUND(VLOOKUP(B$87&amp;"_1",管理者用人口入力シート!A:X,D109,FALSE),0)</f>
        <v>0</v>
      </c>
      <c r="C109" s="18">
        <f>ROUND(VLOOKUP(B$87&amp;"_2",管理者用人口入力シート!A:X,D109,FALSE),0)</f>
        <v>2</v>
      </c>
      <c r="D109" s="2">
        <v>24</v>
      </c>
      <c r="G109" s="2" t="s">
        <v>16</v>
      </c>
      <c r="H109" s="18">
        <f>ROUND(VLOOKUP(H$91&amp;"_1",管理者用人口入力シート!BH:CE,J109,FALSE),0)</f>
        <v>31</v>
      </c>
      <c r="I109" s="18">
        <f>ROUND(VLOOKUP(H$91&amp;"_2",管理者用人口入力シート!BH:CE,J109,FALSE),0)</f>
        <v>40</v>
      </c>
      <c r="J109" s="2">
        <v>20</v>
      </c>
      <c r="K109" s="13"/>
      <c r="N109" s="2" t="s">
        <v>16</v>
      </c>
      <c r="O109" s="18">
        <f>ROUND(VLOOKUP(O$91&amp;"_1",管理者用人口入力シート!CO:DL,Q109,FALSE),0)</f>
        <v>31</v>
      </c>
      <c r="P109" s="18">
        <f>ROUND(VLOOKUP(O$91&amp;"_2",管理者用人口入力シート!CO:DL,Q109,FALSE),0)</f>
        <v>40</v>
      </c>
      <c r="Q109" s="2">
        <v>20</v>
      </c>
      <c r="T109" s="91"/>
    </row>
    <row r="110" spans="1:20" x14ac:dyDescent="0.15">
      <c r="G110" s="2" t="s">
        <v>17</v>
      </c>
      <c r="H110" s="18">
        <f>ROUND(VLOOKUP(H$91&amp;"_1",管理者用人口入力シート!BH:CE,J110,FALSE),0)</f>
        <v>17</v>
      </c>
      <c r="I110" s="18">
        <f>ROUND(VLOOKUP(H$91&amp;"_2",管理者用人口入力シート!BH:CE,J110,FALSE),0)</f>
        <v>33</v>
      </c>
      <c r="J110" s="2">
        <v>21</v>
      </c>
      <c r="K110" s="13"/>
      <c r="N110" s="2" t="s">
        <v>17</v>
      </c>
      <c r="O110" s="18">
        <f>ROUND(VLOOKUP(O$91&amp;"_1",管理者用人口入力シート!CO:DL,Q110,FALSE),0)</f>
        <v>17</v>
      </c>
      <c r="P110" s="18">
        <f>ROUND(VLOOKUP(O$91&amp;"_2",管理者用人口入力シート!CO:DL,Q110,FALSE),0)</f>
        <v>33</v>
      </c>
      <c r="Q110" s="2">
        <v>21</v>
      </c>
      <c r="T110" s="91"/>
    </row>
    <row r="111" spans="1:20" x14ac:dyDescent="0.15">
      <c r="G111" s="2" t="s">
        <v>18</v>
      </c>
      <c r="H111" s="18">
        <f>ROUND(VLOOKUP(H$91&amp;"_1",管理者用人口入力シート!BH:CE,J111,FALSE),0)</f>
        <v>9</v>
      </c>
      <c r="I111" s="18">
        <f>ROUND(VLOOKUP(H$91&amp;"_2",管理者用人口入力シート!BH:CE,J111,FALSE),0)</f>
        <v>20</v>
      </c>
      <c r="J111" s="2">
        <v>22</v>
      </c>
      <c r="K111" s="13"/>
      <c r="N111" s="2" t="s">
        <v>18</v>
      </c>
      <c r="O111" s="18">
        <f>ROUND(VLOOKUP(O$91&amp;"_1",管理者用人口入力シート!CO:DL,Q111,FALSE),0)</f>
        <v>9</v>
      </c>
      <c r="P111" s="18">
        <f>ROUND(VLOOKUP(O$91&amp;"_2",管理者用人口入力シート!CO:DL,Q111,FALSE),0)</f>
        <v>20</v>
      </c>
      <c r="Q111" s="2">
        <v>22</v>
      </c>
      <c r="T111" s="91"/>
    </row>
    <row r="112" spans="1:20" x14ac:dyDescent="0.15">
      <c r="G112" s="2" t="s">
        <v>19</v>
      </c>
      <c r="H112" s="18">
        <f>ROUND(VLOOKUP(H$91&amp;"_1",管理者用人口入力シート!BH:CE,J112,FALSE),0)</f>
        <v>0</v>
      </c>
      <c r="I112" s="18">
        <f>ROUND(VLOOKUP(H$91&amp;"_2",管理者用人口入力シート!BH:CE,J112,FALSE),0)</f>
        <v>7</v>
      </c>
      <c r="J112" s="2">
        <v>23</v>
      </c>
      <c r="K112" s="13"/>
      <c r="N112" s="2" t="s">
        <v>19</v>
      </c>
      <c r="O112" s="18">
        <f>ROUND(VLOOKUP(O$91&amp;"_1",管理者用人口入力シート!CO:DL,Q112,FALSE),0)</f>
        <v>0</v>
      </c>
      <c r="P112" s="18">
        <f>ROUND(VLOOKUP(O$91&amp;"_2",管理者用人口入力シート!CO:DL,Q112,FALSE),0)</f>
        <v>7</v>
      </c>
      <c r="Q112" s="2">
        <v>23</v>
      </c>
      <c r="T112" s="91"/>
    </row>
    <row r="113" spans="7:20" x14ac:dyDescent="0.15">
      <c r="G113" s="2" t="s">
        <v>20</v>
      </c>
      <c r="H113" s="18">
        <f>ROUND(VLOOKUP(H$91&amp;"_1",管理者用人口入力シート!BH:CE,J113,FALSE),0)</f>
        <v>0</v>
      </c>
      <c r="I113" s="18">
        <f>ROUND(VLOOKUP(H$91&amp;"_2",管理者用人口入力シート!BH:CE,J113,FALSE),0)</f>
        <v>0</v>
      </c>
      <c r="J113" s="2">
        <v>24</v>
      </c>
      <c r="K113" s="13"/>
      <c r="N113" s="2" t="s">
        <v>20</v>
      </c>
      <c r="O113" s="18">
        <f>ROUND(VLOOKUP(O$91&amp;"_1",管理者用人口入力シート!CO:DL,Q113,FALSE),0)</f>
        <v>0</v>
      </c>
      <c r="P113" s="18">
        <f>ROUND(VLOOKUP(O$91&amp;"_2",管理者用人口入力シート!CO:DL,Q113,FALSE),0)</f>
        <v>0</v>
      </c>
      <c r="Q113" s="2">
        <v>24</v>
      </c>
      <c r="T113" s="91"/>
    </row>
    <row r="115" spans="7:20" x14ac:dyDescent="0.15">
      <c r="G115" s="2" t="s">
        <v>394</v>
      </c>
      <c r="H115" s="342">
        <f>管理者入力シート!B10</f>
        <v>2035</v>
      </c>
      <c r="I115" s="343"/>
      <c r="J115" s="2" t="s">
        <v>114</v>
      </c>
      <c r="O115" s="342">
        <f>管理者入力シート!B10</f>
        <v>2035</v>
      </c>
      <c r="P115" s="343"/>
      <c r="Q115" s="2" t="s">
        <v>114</v>
      </c>
    </row>
    <row r="116" spans="7:20" x14ac:dyDescent="0.15">
      <c r="G116" s="2" t="s">
        <v>115</v>
      </c>
      <c r="H116" s="19" t="s">
        <v>21</v>
      </c>
      <c r="I116" s="19" t="s">
        <v>22</v>
      </c>
      <c r="N116" s="2" t="s">
        <v>115</v>
      </c>
      <c r="O116" s="19" t="s">
        <v>21</v>
      </c>
      <c r="P116" s="19" t="s">
        <v>22</v>
      </c>
    </row>
    <row r="117" spans="7:20" x14ac:dyDescent="0.15">
      <c r="G117" s="2" t="s">
        <v>0</v>
      </c>
      <c r="H117" s="18">
        <f>ROUND(VLOOKUP(H$115&amp;"_1",管理者用人口入力シート!BH:CE,J117,FALSE),0)</f>
        <v>7</v>
      </c>
      <c r="I117" s="18">
        <f>ROUND(VLOOKUP(H$115&amp;"_2",管理者用人口入力シート!BH:CE,J117,FALSE),0)</f>
        <v>9</v>
      </c>
      <c r="J117" s="2">
        <v>4</v>
      </c>
      <c r="N117" s="2" t="s">
        <v>0</v>
      </c>
      <c r="O117" s="18">
        <f>ROUND(VLOOKUP(O$115&amp;"_1",管理者用人口入力シート!CO:DL,Q117,FALSE),0)</f>
        <v>9</v>
      </c>
      <c r="P117" s="18">
        <f>ROUND(VLOOKUP(O$115&amp;"_2",管理者用人口入力シート!CO:DL,Q117,FALSE),0)</f>
        <v>11</v>
      </c>
      <c r="Q117" s="2">
        <v>4</v>
      </c>
      <c r="T117" s="91"/>
    </row>
    <row r="118" spans="7:20" x14ac:dyDescent="0.15">
      <c r="G118" s="2" t="s">
        <v>1</v>
      </c>
      <c r="H118" s="18">
        <f>ROUND(VLOOKUP(H$115&amp;"_1",管理者用人口入力シート!BH:CE,J118,FALSE),0)</f>
        <v>7</v>
      </c>
      <c r="I118" s="18">
        <f>ROUND(VLOOKUP(H$115&amp;"_2",管理者用人口入力シート!BH:CE,J118,FALSE),0)</f>
        <v>11</v>
      </c>
      <c r="J118" s="2">
        <v>5</v>
      </c>
      <c r="N118" s="2" t="s">
        <v>1</v>
      </c>
      <c r="O118" s="18">
        <f>ROUND(VLOOKUP(O$115&amp;"_1",管理者用人口入力シート!CO:DL,Q118,FALSE),0)</f>
        <v>9</v>
      </c>
      <c r="P118" s="18">
        <f>ROUND(VLOOKUP(O$115&amp;"_2",管理者用人口入力シート!CO:DL,Q118,FALSE),0)</f>
        <v>13</v>
      </c>
      <c r="Q118" s="2">
        <v>5</v>
      </c>
      <c r="T118" s="91"/>
    </row>
    <row r="119" spans="7:20" x14ac:dyDescent="0.15">
      <c r="G119" s="2" t="s">
        <v>2</v>
      </c>
      <c r="H119" s="18">
        <f>ROUND(VLOOKUP(H$115&amp;"_1",管理者用人口入力シート!BH:CE,J119,FALSE),0)</f>
        <v>8</v>
      </c>
      <c r="I119" s="18">
        <f>ROUND(VLOOKUP(H$115&amp;"_2",管理者用人口入力シート!BH:CE,J119,FALSE),0)</f>
        <v>14</v>
      </c>
      <c r="J119" s="2">
        <v>6</v>
      </c>
      <c r="N119" s="2" t="s">
        <v>2</v>
      </c>
      <c r="O119" s="18">
        <f>ROUND(VLOOKUP(O$115&amp;"_1",管理者用人口入力シート!CO:DL,Q119,FALSE),0)</f>
        <v>10</v>
      </c>
      <c r="P119" s="18">
        <f>ROUND(VLOOKUP(O$115&amp;"_2",管理者用人口入力シート!CO:DL,Q119,FALSE),0)</f>
        <v>16</v>
      </c>
      <c r="Q119" s="2">
        <v>6</v>
      </c>
      <c r="T119" s="91"/>
    </row>
    <row r="120" spans="7:20" x14ac:dyDescent="0.15">
      <c r="G120" s="2" t="s">
        <v>3</v>
      </c>
      <c r="H120" s="18">
        <f>ROUND(VLOOKUP(H$115&amp;"_1",管理者用人口入力シート!BH:CE,J120,FALSE),0)</f>
        <v>8</v>
      </c>
      <c r="I120" s="18">
        <f>ROUND(VLOOKUP(H$115&amp;"_2",管理者用人口入力シート!BH:CE,J120,FALSE),0)</f>
        <v>12</v>
      </c>
      <c r="J120" s="2">
        <v>7</v>
      </c>
      <c r="N120" s="2" t="s">
        <v>3</v>
      </c>
      <c r="O120" s="18">
        <f>ROUND(VLOOKUP(O$115&amp;"_1",管理者用人口入力シート!CO:DL,Q120,FALSE),0)</f>
        <v>9</v>
      </c>
      <c r="P120" s="18">
        <f>ROUND(VLOOKUP(O$115&amp;"_2",管理者用人口入力シート!CO:DL,Q120,FALSE),0)</f>
        <v>13</v>
      </c>
      <c r="Q120" s="2">
        <v>7</v>
      </c>
      <c r="T120" s="91"/>
    </row>
    <row r="121" spans="7:20" x14ac:dyDescent="0.15">
      <c r="G121" s="2" t="s">
        <v>4</v>
      </c>
      <c r="H121" s="18">
        <f>ROUND(VLOOKUP(H$115&amp;"_1",管理者用人口入力シート!BH:CE,J121,FALSE),0)</f>
        <v>8</v>
      </c>
      <c r="I121" s="18">
        <f>ROUND(VLOOKUP(H$115&amp;"_2",管理者用人口入力シート!BH:CE,J121,FALSE),0)</f>
        <v>9</v>
      </c>
      <c r="J121" s="2">
        <v>8</v>
      </c>
      <c r="N121" s="2" t="s">
        <v>4</v>
      </c>
      <c r="O121" s="18">
        <f>ROUND(VLOOKUP(O$115&amp;"_1",管理者用人口入力シート!CO:DL,Q121,FALSE),0)</f>
        <v>8</v>
      </c>
      <c r="P121" s="18">
        <f>ROUND(VLOOKUP(O$115&amp;"_2",管理者用人口入力シート!CO:DL,Q121,FALSE),0)</f>
        <v>9</v>
      </c>
      <c r="Q121" s="2">
        <v>8</v>
      </c>
      <c r="T121" s="91"/>
    </row>
    <row r="122" spans="7:20" x14ac:dyDescent="0.15">
      <c r="G122" s="2" t="s">
        <v>5</v>
      </c>
      <c r="H122" s="18">
        <f>ROUND(VLOOKUP(H$115&amp;"_1",管理者用人口入力シート!BH:CE,J122,FALSE),0)</f>
        <v>7</v>
      </c>
      <c r="I122" s="18">
        <f>ROUND(VLOOKUP(H$115&amp;"_2",管理者用人口入力シート!BH:CE,J122,FALSE),0)</f>
        <v>8</v>
      </c>
      <c r="J122" s="2">
        <v>9</v>
      </c>
      <c r="N122" s="2" t="s">
        <v>5</v>
      </c>
      <c r="O122" s="18">
        <f>ROUND(VLOOKUP(O$115&amp;"_1",管理者用人口入力シート!CO:DL,Q122,FALSE),0)</f>
        <v>9</v>
      </c>
      <c r="P122" s="18">
        <f>ROUND(VLOOKUP(O$115&amp;"_2",管理者用人口入力シート!CO:DL,Q122,FALSE),0)</f>
        <v>10</v>
      </c>
      <c r="Q122" s="2">
        <v>9</v>
      </c>
      <c r="T122" s="91"/>
    </row>
    <row r="123" spans="7:20" x14ac:dyDescent="0.15">
      <c r="G123" s="2" t="s">
        <v>6</v>
      </c>
      <c r="H123" s="18">
        <f>ROUND(VLOOKUP(H$115&amp;"_1",管理者用人口入力シート!BH:CE,J123,FALSE),0)</f>
        <v>9</v>
      </c>
      <c r="I123" s="18">
        <f>ROUND(VLOOKUP(H$115&amp;"_2",管理者用人口入力シート!BH:CE,J123,FALSE),0)</f>
        <v>8</v>
      </c>
      <c r="J123" s="2">
        <v>10</v>
      </c>
      <c r="N123" s="2" t="s">
        <v>6</v>
      </c>
      <c r="O123" s="18">
        <f>ROUND(VLOOKUP(O$115&amp;"_1",管理者用人口入力シート!CO:DL,Q123,FALSE),0)</f>
        <v>11</v>
      </c>
      <c r="P123" s="18">
        <f>ROUND(VLOOKUP(O$115&amp;"_2",管理者用人口入力シート!CO:DL,Q123,FALSE),0)</f>
        <v>10</v>
      </c>
      <c r="Q123" s="2">
        <v>10</v>
      </c>
      <c r="T123" s="91"/>
    </row>
    <row r="124" spans="7:20" x14ac:dyDescent="0.15">
      <c r="G124" s="2" t="s">
        <v>7</v>
      </c>
      <c r="H124" s="18">
        <f>ROUND(VLOOKUP(H$115&amp;"_1",管理者用人口入力シート!BH:CE,J124,FALSE),0)</f>
        <v>8</v>
      </c>
      <c r="I124" s="18">
        <f>ROUND(VLOOKUP(H$115&amp;"_2",管理者用人口入力シート!BH:CE,J124,FALSE),0)</f>
        <v>14</v>
      </c>
      <c r="J124" s="2">
        <v>11</v>
      </c>
      <c r="N124" s="2" t="s">
        <v>7</v>
      </c>
      <c r="O124" s="18">
        <f>ROUND(VLOOKUP(O$115&amp;"_1",管理者用人口入力シート!CO:DL,Q124,FALSE),0)</f>
        <v>10</v>
      </c>
      <c r="P124" s="18">
        <f>ROUND(VLOOKUP(O$115&amp;"_2",管理者用人口入力シート!CO:DL,Q124,FALSE),0)</f>
        <v>16</v>
      </c>
      <c r="Q124" s="2">
        <v>11</v>
      </c>
      <c r="T124" s="91"/>
    </row>
    <row r="125" spans="7:20" x14ac:dyDescent="0.15">
      <c r="G125" s="2" t="s">
        <v>8</v>
      </c>
      <c r="H125" s="18">
        <f>ROUND(VLOOKUP(H$115&amp;"_1",管理者用人口入力シート!BH:CE,J125,FALSE),0)</f>
        <v>11</v>
      </c>
      <c r="I125" s="18">
        <f>ROUND(VLOOKUP(H$115&amp;"_2",管理者用人口入力シート!BH:CE,J125,FALSE),0)</f>
        <v>11</v>
      </c>
      <c r="J125" s="2">
        <v>12</v>
      </c>
      <c r="N125" s="2" t="s">
        <v>8</v>
      </c>
      <c r="O125" s="18">
        <f>ROUND(VLOOKUP(O$115&amp;"_1",管理者用人口入力シート!CO:DL,Q125,FALSE),0)</f>
        <v>11</v>
      </c>
      <c r="P125" s="18">
        <f>ROUND(VLOOKUP(O$115&amp;"_2",管理者用人口入力シート!CO:DL,Q125,FALSE),0)</f>
        <v>12</v>
      </c>
      <c r="Q125" s="2">
        <v>12</v>
      </c>
      <c r="T125" s="91"/>
    </row>
    <row r="126" spans="7:20" x14ac:dyDescent="0.15">
      <c r="G126" s="2" t="s">
        <v>9</v>
      </c>
      <c r="H126" s="18">
        <f>ROUND(VLOOKUP(H$115&amp;"_1",管理者用人口入力シート!BH:CE,J126,FALSE),0)</f>
        <v>16</v>
      </c>
      <c r="I126" s="18">
        <f>ROUND(VLOOKUP(H$115&amp;"_2",管理者用人口入力シート!BH:CE,J126,FALSE),0)</f>
        <v>14</v>
      </c>
      <c r="J126" s="2">
        <v>13</v>
      </c>
      <c r="N126" s="2" t="s">
        <v>9</v>
      </c>
      <c r="O126" s="18">
        <f>ROUND(VLOOKUP(O$115&amp;"_1",管理者用人口入力シート!CO:DL,Q126,FALSE),0)</f>
        <v>16</v>
      </c>
      <c r="P126" s="18">
        <f>ROUND(VLOOKUP(O$115&amp;"_2",管理者用人口入力シート!CO:DL,Q126,FALSE),0)</f>
        <v>15</v>
      </c>
      <c r="Q126" s="2">
        <v>13</v>
      </c>
      <c r="T126" s="91"/>
    </row>
    <row r="127" spans="7:20" x14ac:dyDescent="0.15">
      <c r="G127" s="2" t="s">
        <v>10</v>
      </c>
      <c r="H127" s="18">
        <f>ROUND(VLOOKUP(H$115&amp;"_1",管理者用人口入力シート!BH:CE,J127,FALSE),0)</f>
        <v>21</v>
      </c>
      <c r="I127" s="18">
        <f>ROUND(VLOOKUP(H$115&amp;"_2",管理者用人口入力シート!BH:CE,J127,FALSE),0)</f>
        <v>19</v>
      </c>
      <c r="J127" s="2">
        <v>14</v>
      </c>
      <c r="N127" s="2" t="s">
        <v>10</v>
      </c>
      <c r="O127" s="18">
        <f>ROUND(VLOOKUP(O$115&amp;"_1",管理者用人口入力シート!CO:DL,Q127,FALSE),0)</f>
        <v>21</v>
      </c>
      <c r="P127" s="18">
        <f>ROUND(VLOOKUP(O$115&amp;"_2",管理者用人口入力シート!CO:DL,Q127,FALSE),0)</f>
        <v>20</v>
      </c>
      <c r="Q127" s="2">
        <v>14</v>
      </c>
      <c r="T127" s="91"/>
    </row>
    <row r="128" spans="7:20" x14ac:dyDescent="0.15">
      <c r="G128" s="2" t="s">
        <v>11</v>
      </c>
      <c r="H128" s="18">
        <f>ROUND(VLOOKUP(H$115&amp;"_1",管理者用人口入力シート!BH:CE,J128,FALSE),0)</f>
        <v>23</v>
      </c>
      <c r="I128" s="18">
        <f>ROUND(VLOOKUP(H$115&amp;"_2",管理者用人口入力シート!BH:CE,J128,FALSE),0)</f>
        <v>26</v>
      </c>
      <c r="J128" s="2">
        <v>15</v>
      </c>
      <c r="N128" s="2" t="s">
        <v>11</v>
      </c>
      <c r="O128" s="18">
        <f>ROUND(VLOOKUP(O$115&amp;"_1",管理者用人口入力シート!CO:DL,Q128,FALSE),0)</f>
        <v>23</v>
      </c>
      <c r="P128" s="18">
        <f>ROUND(VLOOKUP(O$115&amp;"_2",管理者用人口入力シート!CO:DL,Q128,FALSE),0)</f>
        <v>26</v>
      </c>
      <c r="Q128" s="2">
        <v>15</v>
      </c>
      <c r="T128" s="91"/>
    </row>
    <row r="129" spans="7:20" x14ac:dyDescent="0.15">
      <c r="G129" s="2" t="s">
        <v>12</v>
      </c>
      <c r="H129" s="18">
        <f>ROUND(VLOOKUP(H$115&amp;"_1",管理者用人口入力シート!BH:CE,J129,FALSE),0)</f>
        <v>22</v>
      </c>
      <c r="I129" s="18">
        <f>ROUND(VLOOKUP(H$115&amp;"_2",管理者用人口入力シート!BH:CE,J129,FALSE),0)</f>
        <v>30</v>
      </c>
      <c r="J129" s="2">
        <v>16</v>
      </c>
      <c r="N129" s="2" t="s">
        <v>12</v>
      </c>
      <c r="O129" s="18">
        <f>ROUND(VLOOKUP(O$115&amp;"_1",管理者用人口入力シート!CO:DL,Q129,FALSE),0)</f>
        <v>22</v>
      </c>
      <c r="P129" s="18">
        <f>ROUND(VLOOKUP(O$115&amp;"_2",管理者用人口入力シート!CO:DL,Q129,FALSE),0)</f>
        <v>30</v>
      </c>
      <c r="Q129" s="2">
        <v>16</v>
      </c>
      <c r="T129" s="91"/>
    </row>
    <row r="130" spans="7:20" x14ac:dyDescent="0.15">
      <c r="G130" s="2" t="s">
        <v>13</v>
      </c>
      <c r="H130" s="18">
        <f>ROUND(VLOOKUP(H$115&amp;"_1",管理者用人口入力シート!BH:CE,J130,FALSE),0)</f>
        <v>26</v>
      </c>
      <c r="I130" s="18">
        <f>ROUND(VLOOKUP(H$115&amp;"_2",管理者用人口入力シート!BH:CE,J130,FALSE),0)</f>
        <v>27</v>
      </c>
      <c r="J130" s="2">
        <v>17</v>
      </c>
      <c r="N130" s="2" t="s">
        <v>13</v>
      </c>
      <c r="O130" s="18">
        <f>ROUND(VLOOKUP(O$115&amp;"_1",管理者用人口入力シート!CO:DL,Q130,FALSE),0)</f>
        <v>26</v>
      </c>
      <c r="P130" s="18">
        <f>ROUND(VLOOKUP(O$115&amp;"_2",管理者用人口入力シート!CO:DL,Q130,FALSE),0)</f>
        <v>27</v>
      </c>
      <c r="Q130" s="2">
        <v>17</v>
      </c>
      <c r="T130" s="91"/>
    </row>
    <row r="131" spans="7:20" x14ac:dyDescent="0.15">
      <c r="G131" s="2" t="s">
        <v>14</v>
      </c>
      <c r="H131" s="18">
        <f>ROUND(VLOOKUP(H$115&amp;"_1",管理者用人口入力シート!BH:CE,J131,FALSE),0)</f>
        <v>26</v>
      </c>
      <c r="I131" s="18">
        <f>ROUND(VLOOKUP(H$115&amp;"_2",管理者用人口入力シート!BH:CE,J131,FALSE),0)</f>
        <v>32</v>
      </c>
      <c r="J131" s="2">
        <v>18</v>
      </c>
      <c r="N131" s="2" t="s">
        <v>14</v>
      </c>
      <c r="O131" s="18">
        <f>ROUND(VLOOKUP(O$115&amp;"_1",管理者用人口入力シート!CO:DL,Q131,FALSE),0)</f>
        <v>26</v>
      </c>
      <c r="P131" s="18">
        <f>ROUND(VLOOKUP(O$115&amp;"_2",管理者用人口入力シート!CO:DL,Q131,FALSE),0)</f>
        <v>32</v>
      </c>
      <c r="Q131" s="2">
        <v>18</v>
      </c>
      <c r="T131" s="91"/>
    </row>
    <row r="132" spans="7:20" x14ac:dyDescent="0.15">
      <c r="G132" s="2" t="s">
        <v>15</v>
      </c>
      <c r="H132" s="18">
        <f>ROUND(VLOOKUP(H$115&amp;"_1",管理者用人口入力シート!BH:CE,J132,FALSE),0)</f>
        <v>32</v>
      </c>
      <c r="I132" s="18">
        <f>ROUND(VLOOKUP(H$115&amp;"_2",管理者用人口入力シート!BH:CE,J132,FALSE),0)</f>
        <v>37</v>
      </c>
      <c r="J132" s="2">
        <v>19</v>
      </c>
      <c r="N132" s="2" t="s">
        <v>15</v>
      </c>
      <c r="O132" s="18">
        <f>ROUND(VLOOKUP(O$115&amp;"_1",管理者用人口入力シート!CO:DL,Q132,FALSE),0)</f>
        <v>32</v>
      </c>
      <c r="P132" s="18">
        <f>ROUND(VLOOKUP(O$115&amp;"_2",管理者用人口入力シート!CO:DL,Q132,FALSE),0)</f>
        <v>37</v>
      </c>
      <c r="Q132" s="2">
        <v>19</v>
      </c>
      <c r="T132" s="91"/>
    </row>
    <row r="133" spans="7:20" x14ac:dyDescent="0.15">
      <c r="G133" s="2" t="s">
        <v>16</v>
      </c>
      <c r="H133" s="18">
        <f>ROUND(VLOOKUP(H$115&amp;"_1",管理者用人口入力シート!BH:CE,J133,FALSE),0)</f>
        <v>29</v>
      </c>
      <c r="I133" s="18">
        <f>ROUND(VLOOKUP(H$115&amp;"_2",管理者用人口入力シート!BH:CE,J133,FALSE),0)</f>
        <v>42</v>
      </c>
      <c r="J133" s="2">
        <v>20</v>
      </c>
      <c r="N133" s="2" t="s">
        <v>16</v>
      </c>
      <c r="O133" s="18">
        <f>ROUND(VLOOKUP(O$115&amp;"_1",管理者用人口入力シート!CO:DL,Q133,FALSE),0)</f>
        <v>29</v>
      </c>
      <c r="P133" s="18">
        <f>ROUND(VLOOKUP(O$115&amp;"_2",管理者用人口入力シート!CO:DL,Q133,FALSE),0)</f>
        <v>42</v>
      </c>
      <c r="Q133" s="2">
        <v>20</v>
      </c>
      <c r="T133" s="91"/>
    </row>
    <row r="134" spans="7:20" x14ac:dyDescent="0.15">
      <c r="G134" s="2" t="s">
        <v>17</v>
      </c>
      <c r="H134" s="18">
        <f>ROUND(VLOOKUP(H$115&amp;"_1",管理者用人口入力シート!BH:CE,J134,FALSE),0)</f>
        <v>23</v>
      </c>
      <c r="I134" s="18">
        <f>ROUND(VLOOKUP(H$115&amp;"_2",管理者用人口入力シート!BH:CE,J134,FALSE),0)</f>
        <v>32</v>
      </c>
      <c r="J134" s="2">
        <v>21</v>
      </c>
      <c r="N134" s="2" t="s">
        <v>17</v>
      </c>
      <c r="O134" s="18">
        <f>ROUND(VLOOKUP(O$115&amp;"_1",管理者用人口入力シート!CO:DL,Q134,FALSE),0)</f>
        <v>23</v>
      </c>
      <c r="P134" s="18">
        <f>ROUND(VLOOKUP(O$115&amp;"_2",管理者用人口入力シート!CO:DL,Q134,FALSE),0)</f>
        <v>32</v>
      </c>
      <c r="Q134" s="2">
        <v>21</v>
      </c>
      <c r="T134" s="91"/>
    </row>
    <row r="135" spans="7:20" x14ac:dyDescent="0.15">
      <c r="G135" s="2" t="s">
        <v>18</v>
      </c>
      <c r="H135" s="18">
        <f>ROUND(VLOOKUP(H$115&amp;"_1",管理者用人口入力シート!BH:CE,J135,FALSE),0)</f>
        <v>8</v>
      </c>
      <c r="I135" s="18">
        <f>ROUND(VLOOKUP(H$115&amp;"_2",管理者用人口入力シート!BH:CE,J135,FALSE),0)</f>
        <v>22</v>
      </c>
      <c r="J135" s="2">
        <v>22</v>
      </c>
      <c r="N135" s="2" t="s">
        <v>18</v>
      </c>
      <c r="O135" s="18">
        <f>ROUND(VLOOKUP(O$115&amp;"_1",管理者用人口入力シート!CO:DL,Q135,FALSE),0)</f>
        <v>8</v>
      </c>
      <c r="P135" s="18">
        <f>ROUND(VLOOKUP(O$115&amp;"_2",管理者用人口入力シート!CO:DL,Q135,FALSE),0)</f>
        <v>22</v>
      </c>
      <c r="Q135" s="2">
        <v>22</v>
      </c>
      <c r="T135" s="91"/>
    </row>
    <row r="136" spans="7:20" x14ac:dyDescent="0.15">
      <c r="G136" s="2" t="s">
        <v>19</v>
      </c>
      <c r="H136" s="18">
        <f>ROUND(VLOOKUP(H$115&amp;"_1",管理者用人口入力シート!BH:CE,J136,FALSE),0)</f>
        <v>0</v>
      </c>
      <c r="I136" s="18">
        <f>ROUND(VLOOKUP(H$115&amp;"_2",管理者用人口入力シート!BH:CE,J136,FALSE),0)</f>
        <v>6</v>
      </c>
      <c r="J136" s="2">
        <v>23</v>
      </c>
      <c r="N136" s="2" t="s">
        <v>19</v>
      </c>
      <c r="O136" s="18">
        <f>ROUND(VLOOKUP(O$115&amp;"_1",管理者用人口入力シート!CO:DL,Q136,FALSE),0)</f>
        <v>0</v>
      </c>
      <c r="P136" s="18">
        <f>ROUND(VLOOKUP(O$115&amp;"_2",管理者用人口入力シート!CO:DL,Q136,FALSE),0)</f>
        <v>6</v>
      </c>
      <c r="Q136" s="2">
        <v>23</v>
      </c>
      <c r="T136" s="91"/>
    </row>
    <row r="137" spans="7:20" x14ac:dyDescent="0.15">
      <c r="G137" s="2" t="s">
        <v>20</v>
      </c>
      <c r="H137" s="18">
        <f>ROUND(VLOOKUP(H$115&amp;"_1",管理者用人口入力シート!BH:CE,J137,FALSE),0)</f>
        <v>0</v>
      </c>
      <c r="I137" s="18">
        <f>ROUND(VLOOKUP(H$115&amp;"_2",管理者用人口入力シート!BH:CE,J137,FALSE),0)</f>
        <v>0</v>
      </c>
      <c r="J137" s="2">
        <v>24</v>
      </c>
      <c r="N137" s="2" t="s">
        <v>20</v>
      </c>
      <c r="O137" s="18">
        <f>ROUND(VLOOKUP(O$115&amp;"_1",管理者用人口入力シート!CO:DL,Q137,FALSE),0)</f>
        <v>0</v>
      </c>
      <c r="P137" s="18">
        <f>ROUND(VLOOKUP(O$115&amp;"_2",管理者用人口入力シート!CO:DL,Q137,FALSE),0)</f>
        <v>0</v>
      </c>
      <c r="Q137" s="2">
        <v>24</v>
      </c>
      <c r="T137" s="91"/>
    </row>
    <row r="139" spans="7:20" x14ac:dyDescent="0.15">
      <c r="G139" s="2" t="s">
        <v>109</v>
      </c>
      <c r="H139" s="342">
        <f>管理者入力シート!B11</f>
        <v>2040</v>
      </c>
      <c r="I139" s="343"/>
      <c r="J139" s="2" t="s">
        <v>114</v>
      </c>
      <c r="O139" s="342">
        <f>管理者入力シート!B11</f>
        <v>2040</v>
      </c>
      <c r="P139" s="343"/>
      <c r="Q139" s="2" t="s">
        <v>114</v>
      </c>
    </row>
    <row r="140" spans="7:20" x14ac:dyDescent="0.15">
      <c r="G140" s="2" t="s">
        <v>115</v>
      </c>
      <c r="H140" s="19" t="s">
        <v>21</v>
      </c>
      <c r="I140" s="19" t="s">
        <v>22</v>
      </c>
      <c r="N140" s="2" t="s">
        <v>115</v>
      </c>
      <c r="O140" s="19" t="s">
        <v>21</v>
      </c>
      <c r="P140" s="19" t="s">
        <v>22</v>
      </c>
    </row>
    <row r="141" spans="7:20" x14ac:dyDescent="0.15">
      <c r="G141" s="2" t="s">
        <v>0</v>
      </c>
      <c r="H141" s="18">
        <f>ROUND(VLOOKUP(H$139&amp;"_1",管理者用人口入力シート!BH:CE,J141,FALSE),0)</f>
        <v>6</v>
      </c>
      <c r="I141" s="18">
        <f>ROUND(VLOOKUP(H$139&amp;"_2",管理者用人口入力シート!BH:CE,J141,FALSE),0)</f>
        <v>7</v>
      </c>
      <c r="J141" s="2">
        <v>4</v>
      </c>
      <c r="N141" s="2" t="s">
        <v>0</v>
      </c>
      <c r="O141" s="18">
        <f>ROUND(VLOOKUP(O$139&amp;"_1",管理者用人口入力シート!CO:DL,Q141,FALSE),0)</f>
        <v>8</v>
      </c>
      <c r="P141" s="18">
        <f>ROUND(VLOOKUP(O$139&amp;"_2",管理者用人口入力シート!CO:DL,Q141,FALSE),0)</f>
        <v>10</v>
      </c>
      <c r="Q141" s="2">
        <v>4</v>
      </c>
    </row>
    <row r="142" spans="7:20" x14ac:dyDescent="0.15">
      <c r="G142" s="2" t="s">
        <v>1</v>
      </c>
      <c r="H142" s="18">
        <f>ROUND(VLOOKUP(H$139&amp;"_1",管理者用人口入力シート!BH:CE,J142,FALSE),0)</f>
        <v>7</v>
      </c>
      <c r="I142" s="18">
        <f>ROUND(VLOOKUP(H$139&amp;"_2",管理者用人口入力シート!BH:CE,J142,FALSE),0)</f>
        <v>10</v>
      </c>
      <c r="J142" s="2">
        <v>5</v>
      </c>
      <c r="N142" s="2" t="s">
        <v>1</v>
      </c>
      <c r="O142" s="18">
        <f>ROUND(VLOOKUP(O$139&amp;"_1",管理者用人口入力シート!CO:DL,Q142,FALSE),0)</f>
        <v>9</v>
      </c>
      <c r="P142" s="18">
        <f>ROUND(VLOOKUP(O$139&amp;"_2",管理者用人口入力シート!CO:DL,Q142,FALSE),0)</f>
        <v>13</v>
      </c>
      <c r="Q142" s="2">
        <v>5</v>
      </c>
    </row>
    <row r="143" spans="7:20" x14ac:dyDescent="0.15">
      <c r="G143" s="2" t="s">
        <v>2</v>
      </c>
      <c r="H143" s="18">
        <f>ROUND(VLOOKUP(H$139&amp;"_1",管理者用人口入力シート!BH:CE,J143,FALSE),0)</f>
        <v>7</v>
      </c>
      <c r="I143" s="18">
        <f>ROUND(VLOOKUP(H$139&amp;"_2",管理者用人口入力シート!BH:CE,J143,FALSE),0)</f>
        <v>12</v>
      </c>
      <c r="J143" s="2">
        <v>6</v>
      </c>
      <c r="N143" s="2" t="s">
        <v>2</v>
      </c>
      <c r="O143" s="18">
        <f>ROUND(VLOOKUP(O$139&amp;"_1",管理者用人口入力シート!CO:DL,Q143,FALSE),0)</f>
        <v>10</v>
      </c>
      <c r="P143" s="18">
        <f>ROUND(VLOOKUP(O$139&amp;"_2",管理者用人口入力シート!CO:DL,Q143,FALSE),0)</f>
        <v>16</v>
      </c>
      <c r="Q143" s="2">
        <v>6</v>
      </c>
    </row>
    <row r="144" spans="7:20" x14ac:dyDescent="0.15">
      <c r="G144" s="2" t="s">
        <v>3</v>
      </c>
      <c r="H144" s="18">
        <f>ROUND(VLOOKUP(H$139&amp;"_1",管理者用人口入力シート!BH:CE,J144,FALSE),0)</f>
        <v>6</v>
      </c>
      <c r="I144" s="18">
        <f>ROUND(VLOOKUP(H$139&amp;"_2",管理者用人口入力シート!BH:CE,J144,FALSE),0)</f>
        <v>10</v>
      </c>
      <c r="J144" s="2">
        <v>7</v>
      </c>
      <c r="N144" s="2" t="s">
        <v>3</v>
      </c>
      <c r="O144" s="18">
        <f>ROUND(VLOOKUP(O$139&amp;"_1",管理者用人口入力シート!CO:DL,Q144,FALSE),0)</f>
        <v>8</v>
      </c>
      <c r="P144" s="18">
        <f>ROUND(VLOOKUP(O$139&amp;"_2",管理者用人口入力シート!CO:DL,Q144,FALSE),0)</f>
        <v>12</v>
      </c>
      <c r="Q144" s="2">
        <v>7</v>
      </c>
    </row>
    <row r="145" spans="7:17" x14ac:dyDescent="0.15">
      <c r="G145" s="2" t="s">
        <v>4</v>
      </c>
      <c r="H145" s="18">
        <f>ROUND(VLOOKUP(H$139&amp;"_1",管理者用人口入力シート!BH:CE,J145,FALSE),0)</f>
        <v>4</v>
      </c>
      <c r="I145" s="18">
        <f>ROUND(VLOOKUP(H$139&amp;"_2",管理者用人口入力シート!BH:CE,J145,FALSE),0)</f>
        <v>8</v>
      </c>
      <c r="J145" s="2">
        <v>8</v>
      </c>
      <c r="N145" s="2" t="s">
        <v>4</v>
      </c>
      <c r="O145" s="18">
        <f>ROUND(VLOOKUP(O$139&amp;"_1",管理者用人口入力シート!CO:DL,Q145,FALSE),0)</f>
        <v>4</v>
      </c>
      <c r="P145" s="18">
        <f>ROUND(VLOOKUP(O$139&amp;"_2",管理者用人口入力シート!CO:DL,Q145,FALSE),0)</f>
        <v>8</v>
      </c>
      <c r="Q145" s="2">
        <v>8</v>
      </c>
    </row>
    <row r="146" spans="7:17" x14ac:dyDescent="0.15">
      <c r="G146" s="2" t="s">
        <v>5</v>
      </c>
      <c r="H146" s="18">
        <f>ROUND(VLOOKUP(H$139&amp;"_1",管理者用人口入力シート!BH:CE,J146,FALSE),0)</f>
        <v>7</v>
      </c>
      <c r="I146" s="18">
        <f>ROUND(VLOOKUP(H$139&amp;"_2",管理者用人口入力シート!BH:CE,J146,FALSE),0)</f>
        <v>8</v>
      </c>
      <c r="J146" s="2">
        <v>9</v>
      </c>
      <c r="N146" s="2" t="s">
        <v>5</v>
      </c>
      <c r="O146" s="18">
        <f>ROUND(VLOOKUP(O$139&amp;"_1",管理者用人口入力シート!CO:DL,Q146,FALSE),0)</f>
        <v>9</v>
      </c>
      <c r="P146" s="18">
        <f>ROUND(VLOOKUP(O$139&amp;"_2",管理者用人口入力シート!CO:DL,Q146,FALSE),0)</f>
        <v>10</v>
      </c>
      <c r="Q146" s="2">
        <v>9</v>
      </c>
    </row>
    <row r="147" spans="7:17" x14ac:dyDescent="0.15">
      <c r="G147" s="2" t="s">
        <v>6</v>
      </c>
      <c r="H147" s="18">
        <f>ROUND(VLOOKUP(H$139&amp;"_1",管理者用人口入力シート!BH:CE,J147,FALSE),0)</f>
        <v>7</v>
      </c>
      <c r="I147" s="18">
        <f>ROUND(VLOOKUP(H$139&amp;"_2",管理者用人口入力シート!BH:CE,J147,FALSE),0)</f>
        <v>8</v>
      </c>
      <c r="J147" s="2">
        <v>10</v>
      </c>
      <c r="N147" s="2" t="s">
        <v>6</v>
      </c>
      <c r="O147" s="18">
        <f>ROUND(VLOOKUP(O$139&amp;"_1",管理者用人口入力シート!CO:DL,Q147,FALSE),0)</f>
        <v>9</v>
      </c>
      <c r="P147" s="18">
        <f>ROUND(VLOOKUP(O$139&amp;"_2",管理者用人口入力シート!CO:DL,Q147,FALSE),0)</f>
        <v>10</v>
      </c>
      <c r="Q147" s="2">
        <v>10</v>
      </c>
    </row>
    <row r="148" spans="7:17" x14ac:dyDescent="0.15">
      <c r="G148" s="2" t="s">
        <v>7</v>
      </c>
      <c r="H148" s="18">
        <f>ROUND(VLOOKUP(H$139&amp;"_1",管理者用人口入力シート!BH:CE,J148,FALSE),0)</f>
        <v>9</v>
      </c>
      <c r="I148" s="18">
        <f>ROUND(VLOOKUP(H$139&amp;"_2",管理者用人口入力シート!BH:CE,J148,FALSE),0)</f>
        <v>8</v>
      </c>
      <c r="J148" s="2">
        <v>11</v>
      </c>
      <c r="N148" s="2" t="s">
        <v>7</v>
      </c>
      <c r="O148" s="18">
        <f>ROUND(VLOOKUP(O$139&amp;"_1",管理者用人口入力シート!CO:DL,Q148,FALSE),0)</f>
        <v>11</v>
      </c>
      <c r="P148" s="18">
        <f>ROUND(VLOOKUP(O$139&amp;"_2",管理者用人口入力シート!CO:DL,Q148,FALSE),0)</f>
        <v>10</v>
      </c>
      <c r="Q148" s="2">
        <v>11</v>
      </c>
    </row>
    <row r="149" spans="7:17" x14ac:dyDescent="0.15">
      <c r="G149" s="2" t="s">
        <v>8</v>
      </c>
      <c r="H149" s="18">
        <f>ROUND(VLOOKUP(H$139&amp;"_1",管理者用人口入力シート!BH:CE,J149,FALSE),0)</f>
        <v>8</v>
      </c>
      <c r="I149" s="18">
        <f>ROUND(VLOOKUP(H$139&amp;"_2",管理者用人口入力シート!BH:CE,J149,FALSE),0)</f>
        <v>14</v>
      </c>
      <c r="J149" s="2">
        <v>12</v>
      </c>
      <c r="N149" s="2" t="s">
        <v>8</v>
      </c>
      <c r="O149" s="18">
        <f>ROUND(VLOOKUP(O$139&amp;"_1",管理者用人口入力シート!CO:DL,Q149,FALSE),0)</f>
        <v>11</v>
      </c>
      <c r="P149" s="18">
        <f>ROUND(VLOOKUP(O$139&amp;"_2",管理者用人口入力シート!CO:DL,Q149,FALSE),0)</f>
        <v>17</v>
      </c>
      <c r="Q149" s="2">
        <v>12</v>
      </c>
    </row>
    <row r="150" spans="7:17" x14ac:dyDescent="0.15">
      <c r="G150" s="2" t="s">
        <v>9</v>
      </c>
      <c r="H150" s="18">
        <f>ROUND(VLOOKUP(H$139&amp;"_1",管理者用人口入力シート!BH:CE,J150,FALSE),0)</f>
        <v>11</v>
      </c>
      <c r="I150" s="18">
        <f>ROUND(VLOOKUP(H$139&amp;"_2",管理者用人口入力シート!BH:CE,J150,FALSE),0)</f>
        <v>12</v>
      </c>
      <c r="J150" s="2">
        <v>13</v>
      </c>
      <c r="N150" s="2" t="s">
        <v>9</v>
      </c>
      <c r="O150" s="18">
        <f>ROUND(VLOOKUP(O$139&amp;"_1",管理者用人口入力シート!CO:DL,Q150,FALSE),0)</f>
        <v>11</v>
      </c>
      <c r="P150" s="18">
        <f>ROUND(VLOOKUP(O$139&amp;"_2",管理者用人口入力シート!CO:DL,Q150,FALSE),0)</f>
        <v>13</v>
      </c>
      <c r="Q150" s="2">
        <v>13</v>
      </c>
    </row>
    <row r="151" spans="7:17" x14ac:dyDescent="0.15">
      <c r="G151" s="2" t="s">
        <v>10</v>
      </c>
      <c r="H151" s="18">
        <f>ROUND(VLOOKUP(H$139&amp;"_1",管理者用人口入力シート!BH:CE,J151,FALSE),0)</f>
        <v>16</v>
      </c>
      <c r="I151" s="18">
        <f>ROUND(VLOOKUP(H$139&amp;"_2",管理者用人口入力シート!BH:CE,J151,FALSE),0)</f>
        <v>13</v>
      </c>
      <c r="J151" s="2">
        <v>14</v>
      </c>
      <c r="N151" s="2" t="s">
        <v>10</v>
      </c>
      <c r="O151" s="18">
        <f>ROUND(VLOOKUP(O$139&amp;"_1",管理者用人口入力シート!CO:DL,Q151,FALSE),0)</f>
        <v>16</v>
      </c>
      <c r="P151" s="18">
        <f>ROUND(VLOOKUP(O$139&amp;"_2",管理者用人口入力シート!CO:DL,Q151,FALSE),0)</f>
        <v>15</v>
      </c>
      <c r="Q151" s="2">
        <v>14</v>
      </c>
    </row>
    <row r="152" spans="7:17" x14ac:dyDescent="0.15">
      <c r="G152" s="2" t="s">
        <v>11</v>
      </c>
      <c r="H152" s="18">
        <f>ROUND(VLOOKUP(H$139&amp;"_1",管理者用人口入力シート!BH:CE,J152,FALSE),0)</f>
        <v>21</v>
      </c>
      <c r="I152" s="18">
        <f>ROUND(VLOOKUP(H$139&amp;"_2",管理者用人口入力シート!BH:CE,J152,FALSE),0)</f>
        <v>19</v>
      </c>
      <c r="J152" s="2">
        <v>15</v>
      </c>
      <c r="N152" s="2" t="s">
        <v>11</v>
      </c>
      <c r="O152" s="18">
        <f>ROUND(VLOOKUP(O$139&amp;"_1",管理者用人口入力シート!CO:DL,Q152,FALSE),0)</f>
        <v>21</v>
      </c>
      <c r="P152" s="18">
        <f>ROUND(VLOOKUP(O$139&amp;"_2",管理者用人口入力シート!CO:DL,Q152,FALSE),0)</f>
        <v>20</v>
      </c>
      <c r="Q152" s="2">
        <v>15</v>
      </c>
    </row>
    <row r="153" spans="7:17" x14ac:dyDescent="0.15">
      <c r="G153" s="2" t="s">
        <v>12</v>
      </c>
      <c r="H153" s="18">
        <f>ROUND(VLOOKUP(H$139&amp;"_1",管理者用人口入力シート!BH:CE,J153,FALSE),0)</f>
        <v>22</v>
      </c>
      <c r="I153" s="18">
        <f>ROUND(VLOOKUP(H$139&amp;"_2",管理者用人口入力シート!BH:CE,J153,FALSE),0)</f>
        <v>26</v>
      </c>
      <c r="J153" s="2">
        <v>16</v>
      </c>
      <c r="N153" s="2" t="s">
        <v>12</v>
      </c>
      <c r="O153" s="18">
        <f>ROUND(VLOOKUP(O$139&amp;"_1",管理者用人口入力シート!CO:DL,Q153,FALSE),0)</f>
        <v>22</v>
      </c>
      <c r="P153" s="18">
        <f>ROUND(VLOOKUP(O$139&amp;"_2",管理者用人口入力シート!CO:DL,Q153,FALSE),0)</f>
        <v>26</v>
      </c>
      <c r="Q153" s="2">
        <v>16</v>
      </c>
    </row>
    <row r="154" spans="7:17" x14ac:dyDescent="0.15">
      <c r="G154" s="2" t="s">
        <v>13</v>
      </c>
      <c r="H154" s="18">
        <f>ROUND(VLOOKUP(H$139&amp;"_1",管理者用人口入力シート!BH:CE,J154,FALSE),0)</f>
        <v>21</v>
      </c>
      <c r="I154" s="18">
        <f>ROUND(VLOOKUP(H$139&amp;"_2",管理者用人口入力シート!BH:CE,J154,FALSE),0)</f>
        <v>30</v>
      </c>
      <c r="J154" s="2">
        <v>17</v>
      </c>
      <c r="N154" s="2" t="s">
        <v>13</v>
      </c>
      <c r="O154" s="18">
        <f>ROUND(VLOOKUP(O$139&amp;"_1",管理者用人口入力シート!CO:DL,Q154,FALSE),0)</f>
        <v>21</v>
      </c>
      <c r="P154" s="18">
        <f>ROUND(VLOOKUP(O$139&amp;"_2",管理者用人口入力シート!CO:DL,Q154,FALSE),0)</f>
        <v>30</v>
      </c>
      <c r="Q154" s="2">
        <v>17</v>
      </c>
    </row>
    <row r="155" spans="7:17" x14ac:dyDescent="0.15">
      <c r="G155" s="2" t="s">
        <v>14</v>
      </c>
      <c r="H155" s="18">
        <f>ROUND(VLOOKUP(H$139&amp;"_1",管理者用人口入力シート!BH:CE,J155,FALSE),0)</f>
        <v>24</v>
      </c>
      <c r="I155" s="18">
        <f>ROUND(VLOOKUP(H$139&amp;"_2",管理者用人口入力シート!BH:CE,J155,FALSE),0)</f>
        <v>26</v>
      </c>
      <c r="J155" s="2">
        <v>18</v>
      </c>
      <c r="N155" s="2" t="s">
        <v>14</v>
      </c>
      <c r="O155" s="18">
        <f>ROUND(VLOOKUP(O$139&amp;"_1",管理者用人口入力シート!CO:DL,Q155,FALSE),0)</f>
        <v>24</v>
      </c>
      <c r="P155" s="18">
        <f>ROUND(VLOOKUP(O$139&amp;"_2",管理者用人口入力シート!CO:DL,Q155,FALSE),0)</f>
        <v>26</v>
      </c>
      <c r="Q155" s="2">
        <v>18</v>
      </c>
    </row>
    <row r="156" spans="7:17" x14ac:dyDescent="0.15">
      <c r="G156" s="2" t="s">
        <v>15</v>
      </c>
      <c r="H156" s="18">
        <f>ROUND(VLOOKUP(H$139&amp;"_1",管理者用人口入力シート!BH:CE,J156,FALSE),0)</f>
        <v>24</v>
      </c>
      <c r="I156" s="18">
        <f>ROUND(VLOOKUP(H$139&amp;"_2",管理者用人口入力シート!BH:CE,J156,FALSE),0)</f>
        <v>30</v>
      </c>
      <c r="J156" s="2">
        <v>19</v>
      </c>
      <c r="N156" s="2" t="s">
        <v>15</v>
      </c>
      <c r="O156" s="18">
        <f>ROUND(VLOOKUP(O$139&amp;"_1",管理者用人口入力シート!CO:DL,Q156,FALSE),0)</f>
        <v>24</v>
      </c>
      <c r="P156" s="18">
        <f>ROUND(VLOOKUP(O$139&amp;"_2",管理者用人口入力シート!CO:DL,Q156,FALSE),0)</f>
        <v>30</v>
      </c>
      <c r="Q156" s="2">
        <v>19</v>
      </c>
    </row>
    <row r="157" spans="7:17" x14ac:dyDescent="0.15">
      <c r="G157" s="2" t="s">
        <v>16</v>
      </c>
      <c r="H157" s="18">
        <f>ROUND(VLOOKUP(H$139&amp;"_1",管理者用人口入力シート!BH:CE,J157,FALSE),0)</f>
        <v>25</v>
      </c>
      <c r="I157" s="18">
        <f>ROUND(VLOOKUP(H$139&amp;"_2",管理者用人口入力シート!BH:CE,J157,FALSE),0)</f>
        <v>35</v>
      </c>
      <c r="J157" s="2">
        <v>20</v>
      </c>
      <c r="N157" s="2" t="s">
        <v>16</v>
      </c>
      <c r="O157" s="18">
        <f>ROUND(VLOOKUP(O$139&amp;"_1",管理者用人口入力シート!CO:DL,Q157,FALSE),0)</f>
        <v>25</v>
      </c>
      <c r="P157" s="18">
        <f>ROUND(VLOOKUP(O$139&amp;"_2",管理者用人口入力シート!CO:DL,Q157,FALSE),0)</f>
        <v>35</v>
      </c>
      <c r="Q157" s="2">
        <v>20</v>
      </c>
    </row>
    <row r="158" spans="7:17" x14ac:dyDescent="0.15">
      <c r="G158" s="2" t="s">
        <v>17</v>
      </c>
      <c r="H158" s="18">
        <f>ROUND(VLOOKUP(H$139&amp;"_1",管理者用人口入力シート!BH:CE,J158,FALSE),0)</f>
        <v>21</v>
      </c>
      <c r="I158" s="18">
        <f>ROUND(VLOOKUP(H$139&amp;"_2",管理者用人口入力シート!BH:CE,J158,FALSE),0)</f>
        <v>34</v>
      </c>
      <c r="J158" s="2">
        <v>21</v>
      </c>
      <c r="N158" s="2" t="s">
        <v>17</v>
      </c>
      <c r="O158" s="18">
        <f>ROUND(VLOOKUP(O$139&amp;"_1",管理者用人口入力シート!CO:DL,Q158,FALSE),0)</f>
        <v>21</v>
      </c>
      <c r="P158" s="18">
        <f>ROUND(VLOOKUP(O$139&amp;"_2",管理者用人口入力シート!CO:DL,Q158,FALSE),0)</f>
        <v>34</v>
      </c>
      <c r="Q158" s="2">
        <v>21</v>
      </c>
    </row>
    <row r="159" spans="7:17" x14ac:dyDescent="0.15">
      <c r="G159" s="2" t="s">
        <v>18</v>
      </c>
      <c r="H159" s="18">
        <f>ROUND(VLOOKUP(H$139&amp;"_1",管理者用人口入力シート!BH:CE,J159,FALSE),0)</f>
        <v>10</v>
      </c>
      <c r="I159" s="18">
        <f>ROUND(VLOOKUP(H$139&amp;"_2",管理者用人口入力シート!BH:CE,J159,FALSE),0)</f>
        <v>21</v>
      </c>
      <c r="J159" s="2">
        <v>22</v>
      </c>
      <c r="N159" s="2" t="s">
        <v>18</v>
      </c>
      <c r="O159" s="18">
        <f>ROUND(VLOOKUP(O$139&amp;"_1",管理者用人口入力シート!CO:DL,Q159,FALSE),0)</f>
        <v>10</v>
      </c>
      <c r="P159" s="18">
        <f>ROUND(VLOOKUP(O$139&amp;"_2",管理者用人口入力シート!CO:DL,Q159,FALSE),0)</f>
        <v>21</v>
      </c>
      <c r="Q159" s="2">
        <v>22</v>
      </c>
    </row>
    <row r="160" spans="7:17" x14ac:dyDescent="0.15">
      <c r="G160" s="2" t="s">
        <v>19</v>
      </c>
      <c r="H160" s="18">
        <f>ROUND(VLOOKUP(H$139&amp;"_1",管理者用人口入力シート!BH:CE,J160,FALSE),0)</f>
        <v>0</v>
      </c>
      <c r="I160" s="18">
        <f>ROUND(VLOOKUP(H$139&amp;"_2",管理者用人口入力シート!BH:CE,J160,FALSE),0)</f>
        <v>7</v>
      </c>
      <c r="J160" s="2">
        <v>23</v>
      </c>
      <c r="N160" s="2" t="s">
        <v>19</v>
      </c>
      <c r="O160" s="18">
        <f>ROUND(VLOOKUP(O$139&amp;"_1",管理者用人口入力シート!CO:DL,Q160,FALSE),0)</f>
        <v>0</v>
      </c>
      <c r="P160" s="18">
        <f>ROUND(VLOOKUP(O$139&amp;"_2",管理者用人口入力シート!CO:DL,Q160,FALSE),0)</f>
        <v>7</v>
      </c>
      <c r="Q160" s="2">
        <v>23</v>
      </c>
    </row>
    <row r="161" spans="7:17" x14ac:dyDescent="0.15">
      <c r="G161" s="2" t="s">
        <v>20</v>
      </c>
      <c r="H161" s="18">
        <f>ROUND(VLOOKUP(H$139&amp;"_1",管理者用人口入力シート!BH:CE,J161,FALSE),0)</f>
        <v>0</v>
      </c>
      <c r="I161" s="18">
        <f>ROUND(VLOOKUP(H$139&amp;"_2",管理者用人口入力シート!BH:CE,J161,FALSE),0)</f>
        <v>0</v>
      </c>
      <c r="J161" s="2">
        <v>24</v>
      </c>
      <c r="N161" s="2" t="s">
        <v>20</v>
      </c>
      <c r="O161" s="18">
        <f>ROUND(VLOOKUP(O$139&amp;"_1",管理者用人口入力シート!CO:DL,Q161,FALSE),0)</f>
        <v>0</v>
      </c>
      <c r="P161" s="18">
        <f>ROUND(VLOOKUP(O$139&amp;"_2",管理者用人口入力シート!CO:DL,Q161,FALSE),0)</f>
        <v>0</v>
      </c>
      <c r="Q161" s="2">
        <v>24</v>
      </c>
    </row>
    <row r="163" spans="7:17" x14ac:dyDescent="0.15">
      <c r="G163" s="2" t="s">
        <v>395</v>
      </c>
      <c r="H163" s="342">
        <f>管理者入力シート!B12</f>
        <v>2045</v>
      </c>
      <c r="I163" s="343"/>
      <c r="J163" s="2" t="s">
        <v>114</v>
      </c>
      <c r="O163" s="342">
        <f>管理者入力シート!B12</f>
        <v>2045</v>
      </c>
      <c r="P163" s="343"/>
      <c r="Q163" s="2" t="s">
        <v>114</v>
      </c>
    </row>
    <row r="164" spans="7:17" x14ac:dyDescent="0.15">
      <c r="G164" s="2" t="s">
        <v>115</v>
      </c>
      <c r="H164" s="19" t="s">
        <v>21</v>
      </c>
      <c r="I164" s="19" t="s">
        <v>22</v>
      </c>
      <c r="N164" s="2" t="s">
        <v>115</v>
      </c>
      <c r="O164" s="19" t="s">
        <v>21</v>
      </c>
      <c r="P164" s="19" t="s">
        <v>22</v>
      </c>
    </row>
    <row r="165" spans="7:17" x14ac:dyDescent="0.15">
      <c r="G165" s="2" t="s">
        <v>0</v>
      </c>
      <c r="H165" s="18">
        <f>ROUND(VLOOKUP(H$163&amp;"_1",管理者用人口入力シート!BH:CE,J165,FALSE),0)</f>
        <v>5</v>
      </c>
      <c r="I165" s="18">
        <f>ROUND(VLOOKUP(H$163&amp;"_2",管理者用人口入力シート!BH:CE,J165,FALSE),0)</f>
        <v>6</v>
      </c>
      <c r="J165" s="2">
        <v>4</v>
      </c>
      <c r="N165" s="2" t="s">
        <v>0</v>
      </c>
      <c r="O165" s="18">
        <f>ROUND(VLOOKUP(O$163&amp;"_1",管理者用人口入力シート!CO:DL,Q165,FALSE),0)</f>
        <v>8</v>
      </c>
      <c r="P165" s="18">
        <f>ROUND(VLOOKUP(O$163&amp;"_2",管理者用人口入力シート!CO:DL,Q165,FALSE),0)</f>
        <v>9</v>
      </c>
      <c r="Q165" s="2">
        <v>4</v>
      </c>
    </row>
    <row r="166" spans="7:17" x14ac:dyDescent="0.15">
      <c r="G166" s="2" t="s">
        <v>1</v>
      </c>
      <c r="H166" s="18">
        <f>ROUND(VLOOKUP(H$163&amp;"_1",管理者用人口入力シート!BH:CE,J166,FALSE),0)</f>
        <v>5</v>
      </c>
      <c r="I166" s="18">
        <f>ROUND(VLOOKUP(H$163&amp;"_2",管理者用人口入力シート!BH:CE,J166,FALSE),0)</f>
        <v>8</v>
      </c>
      <c r="J166" s="2">
        <v>5</v>
      </c>
      <c r="N166" s="2" t="s">
        <v>1</v>
      </c>
      <c r="O166" s="18">
        <f>ROUND(VLOOKUP(O$163&amp;"_1",管理者用人口入力シート!CO:DL,Q166,FALSE),0)</f>
        <v>7</v>
      </c>
      <c r="P166" s="18">
        <f>ROUND(VLOOKUP(O$163&amp;"_2",管理者用人口入力シート!CO:DL,Q166,FALSE),0)</f>
        <v>11</v>
      </c>
      <c r="Q166" s="2">
        <v>5</v>
      </c>
    </row>
    <row r="167" spans="7:17" x14ac:dyDescent="0.15">
      <c r="G167" s="2" t="s">
        <v>2</v>
      </c>
      <c r="H167" s="18">
        <f>ROUND(VLOOKUP(H$163&amp;"_1",管理者用人口入力シート!BH:CE,J167,FALSE),0)</f>
        <v>6</v>
      </c>
      <c r="I167" s="18">
        <f>ROUND(VLOOKUP(H$163&amp;"_2",管理者用人口入力シート!BH:CE,J167,FALSE),0)</f>
        <v>11</v>
      </c>
      <c r="J167" s="2">
        <v>6</v>
      </c>
      <c r="N167" s="2" t="s">
        <v>2</v>
      </c>
      <c r="O167" s="18">
        <f>ROUND(VLOOKUP(O$163&amp;"_1",管理者用人口入力シート!CO:DL,Q167,FALSE),0)</f>
        <v>9</v>
      </c>
      <c r="P167" s="18">
        <f>ROUND(VLOOKUP(O$163&amp;"_2",管理者用人口入力シート!CO:DL,Q167,FALSE),0)</f>
        <v>16</v>
      </c>
      <c r="Q167" s="2">
        <v>6</v>
      </c>
    </row>
    <row r="168" spans="7:17" x14ac:dyDescent="0.15">
      <c r="G168" s="2" t="s">
        <v>3</v>
      </c>
      <c r="H168" s="18">
        <f>ROUND(VLOOKUP(H$163&amp;"_1",管理者用人口入力シート!BH:CE,J168,FALSE),0)</f>
        <v>6</v>
      </c>
      <c r="I168" s="18">
        <f>ROUND(VLOOKUP(H$163&amp;"_2",管理者用人口入力シート!BH:CE,J168,FALSE),0)</f>
        <v>9</v>
      </c>
      <c r="J168" s="2">
        <v>7</v>
      </c>
      <c r="N168" s="2" t="s">
        <v>3</v>
      </c>
      <c r="O168" s="18">
        <f>ROUND(VLOOKUP(O$163&amp;"_1",管理者用人口入力シート!CO:DL,Q168,FALSE),0)</f>
        <v>8</v>
      </c>
      <c r="P168" s="18">
        <f>ROUND(VLOOKUP(O$163&amp;"_2",管理者用人口入力シート!CO:DL,Q168,FALSE),0)</f>
        <v>12</v>
      </c>
      <c r="Q168" s="2">
        <v>7</v>
      </c>
    </row>
    <row r="169" spans="7:17" x14ac:dyDescent="0.15">
      <c r="G169" s="2" t="s">
        <v>4</v>
      </c>
      <c r="H169" s="18">
        <f>ROUND(VLOOKUP(H$163&amp;"_1",管理者用人口入力シート!BH:CE,J169,FALSE),0)</f>
        <v>3</v>
      </c>
      <c r="I169" s="18">
        <f>ROUND(VLOOKUP(H$163&amp;"_2",管理者用人口入力シート!BH:CE,J169,FALSE),0)</f>
        <v>6</v>
      </c>
      <c r="J169" s="2">
        <v>8</v>
      </c>
      <c r="N169" s="2" t="s">
        <v>4</v>
      </c>
      <c r="O169" s="18">
        <f>ROUND(VLOOKUP(O$163&amp;"_1",管理者用人口入力シート!CO:DL,Q169,FALSE),0)</f>
        <v>4</v>
      </c>
      <c r="P169" s="18">
        <f>ROUND(VLOOKUP(O$163&amp;"_2",管理者用人口入力シート!CO:DL,Q169,FALSE),0)</f>
        <v>7</v>
      </c>
      <c r="Q169" s="2">
        <v>8</v>
      </c>
    </row>
    <row r="170" spans="7:17" x14ac:dyDescent="0.15">
      <c r="G170" s="2" t="s">
        <v>5</v>
      </c>
      <c r="H170" s="18">
        <f>ROUND(VLOOKUP(H$163&amp;"_1",管理者用人口入力シート!BH:CE,J170,FALSE),0)</f>
        <v>4</v>
      </c>
      <c r="I170" s="18">
        <f>ROUND(VLOOKUP(H$163&amp;"_2",管理者用人口入力シート!BH:CE,J170,FALSE),0)</f>
        <v>7</v>
      </c>
      <c r="J170" s="2">
        <v>9</v>
      </c>
      <c r="N170" s="2" t="s">
        <v>5</v>
      </c>
      <c r="O170" s="18">
        <f>ROUND(VLOOKUP(O$163&amp;"_1",管理者用人口入力シート!CO:DL,Q170,FALSE),0)</f>
        <v>6</v>
      </c>
      <c r="P170" s="18">
        <f>ROUND(VLOOKUP(O$163&amp;"_2",管理者用人口入力シート!CO:DL,Q170,FALSE),0)</f>
        <v>9</v>
      </c>
      <c r="Q170" s="2">
        <v>9</v>
      </c>
    </row>
    <row r="171" spans="7:17" x14ac:dyDescent="0.15">
      <c r="G171" s="2" t="s">
        <v>6</v>
      </c>
      <c r="H171" s="18">
        <f>ROUND(VLOOKUP(H$163&amp;"_1",管理者用人口入力シート!BH:CE,J171,FALSE),0)</f>
        <v>7</v>
      </c>
      <c r="I171" s="18">
        <f>ROUND(VLOOKUP(H$163&amp;"_2",管理者用人口入力シート!BH:CE,J171,FALSE),0)</f>
        <v>8</v>
      </c>
      <c r="J171" s="2">
        <v>10</v>
      </c>
      <c r="N171" s="2" t="s">
        <v>6</v>
      </c>
      <c r="O171" s="18">
        <f>ROUND(VLOOKUP(O$163&amp;"_1",管理者用人口入力シート!CO:DL,Q171,FALSE),0)</f>
        <v>9</v>
      </c>
      <c r="P171" s="18">
        <f>ROUND(VLOOKUP(O$163&amp;"_2",管理者用人口入力シート!CO:DL,Q171,FALSE),0)</f>
        <v>10</v>
      </c>
      <c r="Q171" s="2">
        <v>10</v>
      </c>
    </row>
    <row r="172" spans="7:17" x14ac:dyDescent="0.15">
      <c r="G172" s="2" t="s">
        <v>7</v>
      </c>
      <c r="H172" s="18">
        <f>ROUND(VLOOKUP(H$163&amp;"_1",管理者用人口入力シート!BH:CE,J172,FALSE),0)</f>
        <v>7</v>
      </c>
      <c r="I172" s="18">
        <f>ROUND(VLOOKUP(H$163&amp;"_2",管理者用人口入力シート!BH:CE,J172,FALSE),0)</f>
        <v>8</v>
      </c>
      <c r="J172" s="2">
        <v>11</v>
      </c>
      <c r="N172" s="2" t="s">
        <v>7</v>
      </c>
      <c r="O172" s="18">
        <f>ROUND(VLOOKUP(O$163&amp;"_1",管理者用人口入力シート!CO:DL,Q172,FALSE),0)</f>
        <v>9</v>
      </c>
      <c r="P172" s="18">
        <f>ROUND(VLOOKUP(O$163&amp;"_2",管理者用人口入力シート!CO:DL,Q172,FALSE),0)</f>
        <v>10</v>
      </c>
      <c r="Q172" s="2">
        <v>11</v>
      </c>
    </row>
    <row r="173" spans="7:17" x14ac:dyDescent="0.15">
      <c r="G173" s="2" t="s">
        <v>8</v>
      </c>
      <c r="H173" s="18">
        <f>ROUND(VLOOKUP(H$163&amp;"_1",管理者用人口入力シート!BH:CE,J173,FALSE),0)</f>
        <v>9</v>
      </c>
      <c r="I173" s="18">
        <f>ROUND(VLOOKUP(H$163&amp;"_2",管理者用人口入力シート!BH:CE,J173,FALSE),0)</f>
        <v>8</v>
      </c>
      <c r="J173" s="2">
        <v>12</v>
      </c>
      <c r="N173" s="2" t="s">
        <v>8</v>
      </c>
      <c r="O173" s="18">
        <f>ROUND(VLOOKUP(O$163&amp;"_1",管理者用人口入力シート!CO:DL,Q173,FALSE),0)</f>
        <v>11</v>
      </c>
      <c r="P173" s="18">
        <f>ROUND(VLOOKUP(O$163&amp;"_2",管理者用人口入力シート!CO:DL,Q173,FALSE),0)</f>
        <v>12</v>
      </c>
      <c r="Q173" s="2">
        <v>12</v>
      </c>
    </row>
    <row r="174" spans="7:17" x14ac:dyDescent="0.15">
      <c r="G174" s="2" t="s">
        <v>9</v>
      </c>
      <c r="H174" s="18">
        <f>ROUND(VLOOKUP(H$163&amp;"_1",管理者用人口入力シート!BH:CE,J174,FALSE),0)</f>
        <v>9</v>
      </c>
      <c r="I174" s="18">
        <f>ROUND(VLOOKUP(H$163&amp;"_2",管理者用人口入力シート!BH:CE,J174,FALSE),0)</f>
        <v>15</v>
      </c>
      <c r="J174" s="2">
        <v>13</v>
      </c>
      <c r="N174" s="2" t="s">
        <v>9</v>
      </c>
      <c r="O174" s="18">
        <f>ROUND(VLOOKUP(O$163&amp;"_1",管理者用人口入力シート!CO:DL,Q174,FALSE),0)</f>
        <v>11</v>
      </c>
      <c r="P174" s="18">
        <f>ROUND(VLOOKUP(O$163&amp;"_2",管理者用人口入力シート!CO:DL,Q174,FALSE),0)</f>
        <v>19</v>
      </c>
      <c r="Q174" s="2">
        <v>13</v>
      </c>
    </row>
    <row r="175" spans="7:17" x14ac:dyDescent="0.15">
      <c r="G175" s="2" t="s">
        <v>10</v>
      </c>
      <c r="H175" s="18">
        <f>ROUND(VLOOKUP(H$163&amp;"_1",管理者用人口入力シート!BH:CE,J175,FALSE),0)</f>
        <v>11</v>
      </c>
      <c r="I175" s="18">
        <f>ROUND(VLOOKUP(H$163&amp;"_2",管理者用人口入力シート!BH:CE,J175,FALSE),0)</f>
        <v>12</v>
      </c>
      <c r="J175" s="2">
        <v>14</v>
      </c>
      <c r="N175" s="2" t="s">
        <v>10</v>
      </c>
      <c r="O175" s="18">
        <f>ROUND(VLOOKUP(O$163&amp;"_1",管理者用人口入力シート!CO:DL,Q175,FALSE),0)</f>
        <v>11</v>
      </c>
      <c r="P175" s="18">
        <f>ROUND(VLOOKUP(O$163&amp;"_2",管理者用人口入力シート!CO:DL,Q175,FALSE),0)</f>
        <v>13</v>
      </c>
      <c r="Q175" s="2">
        <v>14</v>
      </c>
    </row>
    <row r="176" spans="7:17" x14ac:dyDescent="0.15">
      <c r="G176" s="2" t="s">
        <v>11</v>
      </c>
      <c r="H176" s="18">
        <f>ROUND(VLOOKUP(H$163&amp;"_1",管理者用人口入力シート!BH:CE,J176,FALSE),0)</f>
        <v>16</v>
      </c>
      <c r="I176" s="18">
        <f>ROUND(VLOOKUP(H$163&amp;"_2",管理者用人口入力シート!BH:CE,J176,FALSE),0)</f>
        <v>14</v>
      </c>
      <c r="J176" s="2">
        <v>15</v>
      </c>
      <c r="N176" s="2" t="s">
        <v>11</v>
      </c>
      <c r="O176" s="18">
        <f>ROUND(VLOOKUP(O$163&amp;"_1",管理者用人口入力シート!CO:DL,Q176,FALSE),0)</f>
        <v>16</v>
      </c>
      <c r="P176" s="18">
        <f>ROUND(VLOOKUP(O$163&amp;"_2",管理者用人口入力シート!CO:DL,Q176,FALSE),0)</f>
        <v>15</v>
      </c>
      <c r="Q176" s="2">
        <v>15</v>
      </c>
    </row>
    <row r="177" spans="7:17" x14ac:dyDescent="0.15">
      <c r="G177" s="2" t="s">
        <v>12</v>
      </c>
      <c r="H177" s="18">
        <f>ROUND(VLOOKUP(H$163&amp;"_1",管理者用人口入力シート!BH:CE,J177,FALSE),0)</f>
        <v>20</v>
      </c>
      <c r="I177" s="18">
        <f>ROUND(VLOOKUP(H$163&amp;"_2",管理者用人口入力シート!BH:CE,J177,FALSE),0)</f>
        <v>19</v>
      </c>
      <c r="J177" s="2">
        <v>16</v>
      </c>
      <c r="N177" s="2" t="s">
        <v>12</v>
      </c>
      <c r="O177" s="18">
        <f>ROUND(VLOOKUP(O$163&amp;"_1",管理者用人口入力シート!CO:DL,Q177,FALSE),0)</f>
        <v>20</v>
      </c>
      <c r="P177" s="18">
        <f>ROUND(VLOOKUP(O$163&amp;"_2",管理者用人口入力シート!CO:DL,Q177,FALSE),0)</f>
        <v>20</v>
      </c>
      <c r="Q177" s="2">
        <v>16</v>
      </c>
    </row>
    <row r="178" spans="7:17" x14ac:dyDescent="0.15">
      <c r="G178" s="2" t="s">
        <v>13</v>
      </c>
      <c r="H178" s="18">
        <f>ROUND(VLOOKUP(H$163&amp;"_1",管理者用人口入力シート!BH:CE,J178,FALSE),0)</f>
        <v>21</v>
      </c>
      <c r="I178" s="18">
        <f>ROUND(VLOOKUP(H$163&amp;"_2",管理者用人口入力シート!BH:CE,J178,FALSE),0)</f>
        <v>26</v>
      </c>
      <c r="J178" s="2">
        <v>17</v>
      </c>
      <c r="N178" s="2" t="s">
        <v>13</v>
      </c>
      <c r="O178" s="18">
        <f>ROUND(VLOOKUP(O$163&amp;"_1",管理者用人口入力シート!CO:DL,Q178,FALSE),0)</f>
        <v>21</v>
      </c>
      <c r="P178" s="18">
        <f>ROUND(VLOOKUP(O$163&amp;"_2",管理者用人口入力シート!CO:DL,Q178,FALSE),0)</f>
        <v>26</v>
      </c>
      <c r="Q178" s="2">
        <v>17</v>
      </c>
    </row>
    <row r="179" spans="7:17" x14ac:dyDescent="0.15">
      <c r="G179" s="2" t="s">
        <v>14</v>
      </c>
      <c r="H179" s="18">
        <f>ROUND(VLOOKUP(H$163&amp;"_1",管理者用人口入力シート!BH:CE,J179,FALSE),0)</f>
        <v>19</v>
      </c>
      <c r="I179" s="18">
        <f>ROUND(VLOOKUP(H$163&amp;"_2",管理者用人口入力シート!BH:CE,J179,FALSE),0)</f>
        <v>30</v>
      </c>
      <c r="J179" s="2">
        <v>18</v>
      </c>
      <c r="N179" s="2" t="s">
        <v>14</v>
      </c>
      <c r="O179" s="18">
        <f>ROUND(VLOOKUP(O$163&amp;"_1",管理者用人口入力シート!CO:DL,Q179,FALSE),0)</f>
        <v>19</v>
      </c>
      <c r="P179" s="18">
        <f>ROUND(VLOOKUP(O$163&amp;"_2",管理者用人口入力シート!CO:DL,Q179,FALSE),0)</f>
        <v>30</v>
      </c>
      <c r="Q179" s="2">
        <v>18</v>
      </c>
    </row>
    <row r="180" spans="7:17" x14ac:dyDescent="0.15">
      <c r="G180" s="2" t="s">
        <v>15</v>
      </c>
      <c r="H180" s="18">
        <f>ROUND(VLOOKUP(H$163&amp;"_1",管理者用人口入力シート!BH:CE,J180,FALSE),0)</f>
        <v>22</v>
      </c>
      <c r="I180" s="18">
        <f>ROUND(VLOOKUP(H$163&amp;"_2",管理者用人口入力シート!BH:CE,J180,FALSE),0)</f>
        <v>24</v>
      </c>
      <c r="J180" s="2">
        <v>19</v>
      </c>
      <c r="N180" s="2" t="s">
        <v>15</v>
      </c>
      <c r="O180" s="18">
        <f>ROUND(VLOOKUP(O$163&amp;"_1",管理者用人口入力シート!CO:DL,Q180,FALSE),0)</f>
        <v>22</v>
      </c>
      <c r="P180" s="18">
        <f>ROUND(VLOOKUP(O$163&amp;"_2",管理者用人口入力シート!CO:DL,Q180,FALSE),0)</f>
        <v>24</v>
      </c>
      <c r="Q180" s="2">
        <v>19</v>
      </c>
    </row>
    <row r="181" spans="7:17" x14ac:dyDescent="0.15">
      <c r="G181" s="2" t="s">
        <v>16</v>
      </c>
      <c r="H181" s="18">
        <f>ROUND(VLOOKUP(H$163&amp;"_1",管理者用人口入力シート!BH:CE,J181,FALSE),0)</f>
        <v>19</v>
      </c>
      <c r="I181" s="18">
        <f>ROUND(VLOOKUP(H$163&amp;"_2",管理者用人口入力シート!BH:CE,J181,FALSE),0)</f>
        <v>29</v>
      </c>
      <c r="J181" s="2">
        <v>20</v>
      </c>
      <c r="N181" s="2" t="s">
        <v>16</v>
      </c>
      <c r="O181" s="18">
        <f>ROUND(VLOOKUP(O$163&amp;"_1",管理者用人口入力シート!CO:DL,Q181,FALSE),0)</f>
        <v>19</v>
      </c>
      <c r="P181" s="18">
        <f>ROUND(VLOOKUP(O$163&amp;"_2",管理者用人口入力シート!CO:DL,Q181,FALSE),0)</f>
        <v>29</v>
      </c>
      <c r="Q181" s="2">
        <v>20</v>
      </c>
    </row>
    <row r="182" spans="7:17" x14ac:dyDescent="0.15">
      <c r="G182" s="2" t="s">
        <v>17</v>
      </c>
      <c r="H182" s="18">
        <f>ROUND(VLOOKUP(H$163&amp;"_1",管理者用人口入力シート!BH:CE,J182,FALSE),0)</f>
        <v>18</v>
      </c>
      <c r="I182" s="18">
        <f>ROUND(VLOOKUP(H$163&amp;"_2",管理者用人口入力シート!BH:CE,J182,FALSE),0)</f>
        <v>28</v>
      </c>
      <c r="J182" s="2">
        <v>21</v>
      </c>
      <c r="N182" s="2" t="s">
        <v>17</v>
      </c>
      <c r="O182" s="18">
        <f>ROUND(VLOOKUP(O$163&amp;"_1",管理者用人口入力シート!CO:DL,Q182,FALSE),0)</f>
        <v>18</v>
      </c>
      <c r="P182" s="18">
        <f>ROUND(VLOOKUP(O$163&amp;"_2",管理者用人口入力シート!CO:DL,Q182,FALSE),0)</f>
        <v>28</v>
      </c>
      <c r="Q182" s="2">
        <v>21</v>
      </c>
    </row>
    <row r="183" spans="7:17" x14ac:dyDescent="0.15">
      <c r="G183" s="2" t="s">
        <v>18</v>
      </c>
      <c r="H183" s="18">
        <f>ROUND(VLOOKUP(H$163&amp;"_1",管理者用人口入力シート!BH:CE,J183,FALSE),0)</f>
        <v>9</v>
      </c>
      <c r="I183" s="18">
        <f>ROUND(VLOOKUP(H$163&amp;"_2",管理者用人口入力シート!BH:CE,J183,FALSE),0)</f>
        <v>23</v>
      </c>
      <c r="J183" s="2">
        <v>22</v>
      </c>
      <c r="N183" s="2" t="s">
        <v>18</v>
      </c>
      <c r="O183" s="18">
        <f>ROUND(VLOOKUP(O$163&amp;"_1",管理者用人口入力シート!CO:DL,Q183,FALSE),0)</f>
        <v>9</v>
      </c>
      <c r="P183" s="18">
        <f>ROUND(VLOOKUP(O$163&amp;"_2",管理者用人口入力シート!CO:DL,Q183,FALSE),0)</f>
        <v>23</v>
      </c>
      <c r="Q183" s="2">
        <v>22</v>
      </c>
    </row>
    <row r="184" spans="7:17" x14ac:dyDescent="0.15">
      <c r="G184" s="2" t="s">
        <v>19</v>
      </c>
      <c r="H184" s="18">
        <f>ROUND(VLOOKUP(H$163&amp;"_1",管理者用人口入力シート!BH:CE,J184,FALSE),0)</f>
        <v>0</v>
      </c>
      <c r="I184" s="18">
        <f>ROUND(VLOOKUP(H$163&amp;"_2",管理者用人口入力シート!BH:CE,J184,FALSE),0)</f>
        <v>7</v>
      </c>
      <c r="J184" s="2">
        <v>23</v>
      </c>
      <c r="N184" s="2" t="s">
        <v>19</v>
      </c>
      <c r="O184" s="18">
        <f>ROUND(VLOOKUP(O$163&amp;"_1",管理者用人口入力シート!CO:DL,Q184,FALSE),0)</f>
        <v>0</v>
      </c>
      <c r="P184" s="18">
        <f>ROUND(VLOOKUP(O$163&amp;"_2",管理者用人口入力シート!CO:DL,Q184,FALSE),0)</f>
        <v>7</v>
      </c>
      <c r="Q184" s="2">
        <v>23</v>
      </c>
    </row>
    <row r="185" spans="7:17" x14ac:dyDescent="0.15">
      <c r="G185" s="2" t="s">
        <v>20</v>
      </c>
      <c r="H185" s="18">
        <f>ROUND(VLOOKUP(H$163&amp;"_1",管理者用人口入力シート!BH:CE,J185,FALSE),0)</f>
        <v>0</v>
      </c>
      <c r="I185" s="18">
        <f>ROUND(VLOOKUP(H$163&amp;"_2",管理者用人口入力シート!BH:CE,J185,FALSE),0)</f>
        <v>0</v>
      </c>
      <c r="J185" s="2">
        <v>24</v>
      </c>
      <c r="N185" s="2" t="s">
        <v>20</v>
      </c>
      <c r="O185" s="18">
        <f>ROUND(VLOOKUP(O$163&amp;"_1",管理者用人口入力シート!CO:DL,Q185,FALSE),0)</f>
        <v>0</v>
      </c>
      <c r="P185" s="18">
        <f>ROUND(VLOOKUP(O$163&amp;"_2",管理者用人口入力シート!CO:DL,Q185,FALSE),0)</f>
        <v>0</v>
      </c>
      <c r="Q185" s="2">
        <v>24</v>
      </c>
    </row>
    <row r="187" spans="7:17" x14ac:dyDescent="0.15">
      <c r="G187" s="2" t="s">
        <v>396</v>
      </c>
      <c r="H187" s="342">
        <f>管理者入力シート!B13</f>
        <v>2050</v>
      </c>
      <c r="I187" s="343"/>
      <c r="J187" s="2" t="s">
        <v>114</v>
      </c>
      <c r="O187" s="342">
        <f>管理者入力シート!B13</f>
        <v>2050</v>
      </c>
      <c r="P187" s="343"/>
      <c r="Q187" s="2" t="s">
        <v>114</v>
      </c>
    </row>
    <row r="188" spans="7:17" x14ac:dyDescent="0.15">
      <c r="G188" s="2" t="s">
        <v>115</v>
      </c>
      <c r="H188" s="19" t="s">
        <v>21</v>
      </c>
      <c r="I188" s="19" t="s">
        <v>22</v>
      </c>
      <c r="N188" s="2" t="s">
        <v>115</v>
      </c>
      <c r="O188" s="19" t="s">
        <v>21</v>
      </c>
      <c r="P188" s="19" t="s">
        <v>22</v>
      </c>
    </row>
    <row r="189" spans="7:17" x14ac:dyDescent="0.15">
      <c r="G189" s="2" t="s">
        <v>0</v>
      </c>
      <c r="H189" s="18">
        <f>ROUND(VLOOKUP(H$187&amp;"_1",管理者用人口入力シート!BH:CE,J189,FALSE),0)</f>
        <v>5</v>
      </c>
      <c r="I189" s="18">
        <f>ROUND(VLOOKUP(H$187&amp;"_2",管理者用人口入力シート!BH:CE,J189,FALSE),0)</f>
        <v>6</v>
      </c>
      <c r="J189" s="2">
        <v>4</v>
      </c>
      <c r="N189" s="2" t="s">
        <v>0</v>
      </c>
      <c r="O189" s="18">
        <f>ROUND(VLOOKUP(O$187&amp;"_1",管理者用人口入力シート!CO:DL,Q189,FALSE),0)</f>
        <v>7</v>
      </c>
      <c r="P189" s="18">
        <f>ROUND(VLOOKUP(O$187&amp;"_2",管理者用人口入力シート!CO:DL,Q189,FALSE),0)</f>
        <v>9</v>
      </c>
      <c r="Q189" s="2">
        <v>4</v>
      </c>
    </row>
    <row r="190" spans="7:17" x14ac:dyDescent="0.15">
      <c r="G190" s="2" t="s">
        <v>1</v>
      </c>
      <c r="H190" s="18">
        <f>ROUND(VLOOKUP(H$187&amp;"_1",管理者用人口入力シート!BH:CE,J190,FALSE),0)</f>
        <v>5</v>
      </c>
      <c r="I190" s="18">
        <f>ROUND(VLOOKUP(H$187&amp;"_2",管理者用人口入力シート!BH:CE,J190,FALSE),0)</f>
        <v>7</v>
      </c>
      <c r="J190" s="2">
        <v>5</v>
      </c>
      <c r="N190" s="2" t="s">
        <v>1</v>
      </c>
      <c r="O190" s="18">
        <f>ROUND(VLOOKUP(O$187&amp;"_1",管理者用人口入力シート!CO:DL,Q190,FALSE),0)</f>
        <v>7</v>
      </c>
      <c r="P190" s="18">
        <f>ROUND(VLOOKUP(O$187&amp;"_2",管理者用人口入力シート!CO:DL,Q190,FALSE),0)</f>
        <v>10</v>
      </c>
      <c r="Q190" s="2">
        <v>5</v>
      </c>
    </row>
    <row r="191" spans="7:17" x14ac:dyDescent="0.15">
      <c r="G191" s="2" t="s">
        <v>2</v>
      </c>
      <c r="H191" s="18">
        <f>ROUND(VLOOKUP(H$187&amp;"_1",管理者用人口入力シート!BH:CE,J191,FALSE),0)</f>
        <v>5</v>
      </c>
      <c r="I191" s="18">
        <f>ROUND(VLOOKUP(H$187&amp;"_2",管理者用人口入力シート!BH:CE,J191,FALSE),0)</f>
        <v>9</v>
      </c>
      <c r="J191" s="2">
        <v>6</v>
      </c>
      <c r="N191" s="2" t="s">
        <v>2</v>
      </c>
      <c r="O191" s="18">
        <f>ROUND(VLOOKUP(O$187&amp;"_1",管理者用人口入力シート!CO:DL,Q191,FALSE),0)</f>
        <v>8</v>
      </c>
      <c r="P191" s="18">
        <f>ROUND(VLOOKUP(O$187&amp;"_2",管理者用人口入力シート!CO:DL,Q191,FALSE),0)</f>
        <v>13</v>
      </c>
      <c r="Q191" s="2">
        <v>6</v>
      </c>
    </row>
    <row r="192" spans="7:17" x14ac:dyDescent="0.15">
      <c r="G192" s="2" t="s">
        <v>3</v>
      </c>
      <c r="H192" s="18">
        <f>ROUND(VLOOKUP(H$187&amp;"_1",管理者用人口入力シート!BH:CE,J192,FALSE),0)</f>
        <v>5</v>
      </c>
      <c r="I192" s="18">
        <f>ROUND(VLOOKUP(H$187&amp;"_2",管理者用人口入力シート!BH:CE,J192,FALSE),0)</f>
        <v>8</v>
      </c>
      <c r="J192" s="2">
        <v>7</v>
      </c>
      <c r="N192" s="2" t="s">
        <v>3</v>
      </c>
      <c r="O192" s="18">
        <f>ROUND(VLOOKUP(O$187&amp;"_1",管理者用人口入力シート!CO:DL,Q192,FALSE),0)</f>
        <v>8</v>
      </c>
      <c r="P192" s="18">
        <f>ROUND(VLOOKUP(O$187&amp;"_2",管理者用人口入力シート!CO:DL,Q192,FALSE),0)</f>
        <v>11</v>
      </c>
      <c r="Q192" s="2">
        <v>7</v>
      </c>
    </row>
    <row r="193" spans="7:17" x14ac:dyDescent="0.15">
      <c r="G193" s="2" t="s">
        <v>4</v>
      </c>
      <c r="H193" s="18">
        <f>ROUND(VLOOKUP(H$187&amp;"_1",管理者用人口入力シート!BH:CE,J193,FALSE),0)</f>
        <v>3</v>
      </c>
      <c r="I193" s="18">
        <f>ROUND(VLOOKUP(H$187&amp;"_2",管理者用人口入力シート!BH:CE,J193,FALSE),0)</f>
        <v>6</v>
      </c>
      <c r="J193" s="2">
        <v>8</v>
      </c>
      <c r="N193" s="2" t="s">
        <v>4</v>
      </c>
      <c r="O193" s="18">
        <f>ROUND(VLOOKUP(O$187&amp;"_1",管理者用人口入力シート!CO:DL,Q193,FALSE),0)</f>
        <v>4</v>
      </c>
      <c r="P193" s="18">
        <f>ROUND(VLOOKUP(O$187&amp;"_2",管理者用人口入力シート!CO:DL,Q193,FALSE),0)</f>
        <v>7</v>
      </c>
      <c r="Q193" s="2">
        <v>8</v>
      </c>
    </row>
    <row r="194" spans="7:17" x14ac:dyDescent="0.15">
      <c r="G194" s="2" t="s">
        <v>5</v>
      </c>
      <c r="H194" s="18">
        <f>ROUND(VLOOKUP(H$187&amp;"_1",管理者用人口入力シート!BH:CE,J194,FALSE),0)</f>
        <v>3</v>
      </c>
      <c r="I194" s="18">
        <f>ROUND(VLOOKUP(H$187&amp;"_2",管理者用人口入力シート!BH:CE,J194,FALSE),0)</f>
        <v>5</v>
      </c>
      <c r="J194" s="2">
        <v>9</v>
      </c>
      <c r="N194" s="2" t="s">
        <v>5</v>
      </c>
      <c r="O194" s="18">
        <f>ROUND(VLOOKUP(O$187&amp;"_1",管理者用人口入力シート!CO:DL,Q194,FALSE),0)</f>
        <v>6</v>
      </c>
      <c r="P194" s="18">
        <f>ROUND(VLOOKUP(O$187&amp;"_2",管理者用人口入力シート!CO:DL,Q194,FALSE),0)</f>
        <v>8</v>
      </c>
      <c r="Q194" s="2">
        <v>9</v>
      </c>
    </row>
    <row r="195" spans="7:17" x14ac:dyDescent="0.15">
      <c r="G195" s="2" t="s">
        <v>6</v>
      </c>
      <c r="H195" s="18">
        <f>ROUND(VLOOKUP(H$187&amp;"_1",管理者用人口入力シート!BH:CE,J195,FALSE),0)</f>
        <v>3</v>
      </c>
      <c r="I195" s="18">
        <f>ROUND(VLOOKUP(H$187&amp;"_2",管理者用人口入力シート!BH:CE,J195,FALSE),0)</f>
        <v>7</v>
      </c>
      <c r="J195" s="2">
        <v>10</v>
      </c>
      <c r="N195" s="2" t="s">
        <v>6</v>
      </c>
      <c r="O195" s="18">
        <f>ROUND(VLOOKUP(O$187&amp;"_1",管理者用人口入力シート!CO:DL,Q195,FALSE),0)</f>
        <v>6</v>
      </c>
      <c r="P195" s="18">
        <f>ROUND(VLOOKUP(O$187&amp;"_2",管理者用人口入力シート!CO:DL,Q195,FALSE),0)</f>
        <v>9</v>
      </c>
      <c r="Q195" s="2">
        <v>10</v>
      </c>
    </row>
    <row r="196" spans="7:17" x14ac:dyDescent="0.15">
      <c r="G196" s="2" t="s">
        <v>7</v>
      </c>
      <c r="H196" s="18">
        <f>ROUND(VLOOKUP(H$187&amp;"_1",管理者用人口入力シート!BH:CE,J196,FALSE),0)</f>
        <v>7</v>
      </c>
      <c r="I196" s="18">
        <f>ROUND(VLOOKUP(H$187&amp;"_2",管理者用人口入力シート!BH:CE,J196,FALSE),0)</f>
        <v>7</v>
      </c>
      <c r="J196" s="2">
        <v>11</v>
      </c>
      <c r="N196" s="2" t="s">
        <v>7</v>
      </c>
      <c r="O196" s="18">
        <f>ROUND(VLOOKUP(O$187&amp;"_1",管理者用人口入力シート!CO:DL,Q196,FALSE),0)</f>
        <v>9</v>
      </c>
      <c r="P196" s="18">
        <f>ROUND(VLOOKUP(O$187&amp;"_2",管理者用人口入力シート!CO:DL,Q196,FALSE),0)</f>
        <v>10</v>
      </c>
      <c r="Q196" s="2">
        <v>11</v>
      </c>
    </row>
    <row r="197" spans="7:17" x14ac:dyDescent="0.15">
      <c r="G197" s="2" t="s">
        <v>8</v>
      </c>
      <c r="H197" s="18">
        <f>ROUND(VLOOKUP(H$187&amp;"_1",管理者用人口入力シート!BH:CE,J197,FALSE),0)</f>
        <v>7</v>
      </c>
      <c r="I197" s="18">
        <f>ROUND(VLOOKUP(H$187&amp;"_2",管理者用人口入力シート!BH:CE,J197,FALSE),0)</f>
        <v>8</v>
      </c>
      <c r="J197" s="2">
        <v>12</v>
      </c>
      <c r="N197" s="2" t="s">
        <v>8</v>
      </c>
      <c r="O197" s="18">
        <f>ROUND(VLOOKUP(O$187&amp;"_1",管理者用人口入力シート!CO:DL,Q197,FALSE),0)</f>
        <v>9</v>
      </c>
      <c r="P197" s="18">
        <f>ROUND(VLOOKUP(O$187&amp;"_2",管理者用人口入力シート!CO:DL,Q197,FALSE),0)</f>
        <v>11</v>
      </c>
      <c r="Q197" s="2">
        <v>12</v>
      </c>
    </row>
    <row r="198" spans="7:17" x14ac:dyDescent="0.15">
      <c r="G198" s="2" t="s">
        <v>9</v>
      </c>
      <c r="H198" s="18">
        <f>ROUND(VLOOKUP(H$187&amp;"_1",管理者用人口入力シート!BH:CE,J198,FALSE),0)</f>
        <v>9</v>
      </c>
      <c r="I198" s="18">
        <f>ROUND(VLOOKUP(H$187&amp;"_2",管理者用人口入力シート!BH:CE,J198,FALSE),0)</f>
        <v>9</v>
      </c>
      <c r="J198" s="2">
        <v>13</v>
      </c>
      <c r="N198" s="2" t="s">
        <v>9</v>
      </c>
      <c r="O198" s="18">
        <f>ROUND(VLOOKUP(O$187&amp;"_1",管理者用人口入力シート!CO:DL,Q198,FALSE),0)</f>
        <v>11</v>
      </c>
      <c r="P198" s="18">
        <f>ROUND(VLOOKUP(O$187&amp;"_2",管理者用人口入力シート!CO:DL,Q198,FALSE),0)</f>
        <v>12</v>
      </c>
      <c r="Q198" s="2">
        <v>13</v>
      </c>
    </row>
    <row r="199" spans="7:17" x14ac:dyDescent="0.15">
      <c r="G199" s="2" t="s">
        <v>10</v>
      </c>
      <c r="H199" s="18">
        <f>ROUND(VLOOKUP(H$187&amp;"_1",管理者用人口入力シート!BH:CE,J199,FALSE),0)</f>
        <v>9</v>
      </c>
      <c r="I199" s="18">
        <f>ROUND(VLOOKUP(H$187&amp;"_2",管理者用人口入力シート!BH:CE,J199,FALSE),0)</f>
        <v>15</v>
      </c>
      <c r="J199" s="2">
        <v>14</v>
      </c>
      <c r="N199" s="2" t="s">
        <v>10</v>
      </c>
      <c r="O199" s="18">
        <f>ROUND(VLOOKUP(O$187&amp;"_1",管理者用人口入力シート!CO:DL,Q199,FALSE),0)</f>
        <v>11</v>
      </c>
      <c r="P199" s="18">
        <f>ROUND(VLOOKUP(O$187&amp;"_2",管理者用人口入力シート!CO:DL,Q199,FALSE),0)</f>
        <v>18</v>
      </c>
      <c r="Q199" s="2">
        <v>14</v>
      </c>
    </row>
    <row r="200" spans="7:17" x14ac:dyDescent="0.15">
      <c r="G200" s="2" t="s">
        <v>11</v>
      </c>
      <c r="H200" s="18">
        <f>ROUND(VLOOKUP(H$187&amp;"_1",管理者用人口入力シート!BH:CE,J200,FALSE),0)</f>
        <v>11</v>
      </c>
      <c r="I200" s="18">
        <f>ROUND(VLOOKUP(H$187&amp;"_2",管理者用人口入力シート!BH:CE,J200,FALSE),0)</f>
        <v>12</v>
      </c>
      <c r="J200" s="2">
        <v>15</v>
      </c>
      <c r="N200" s="2" t="s">
        <v>11</v>
      </c>
      <c r="O200" s="18">
        <f>ROUND(VLOOKUP(O$187&amp;"_1",管理者用人口入力シート!CO:DL,Q200,FALSE),0)</f>
        <v>11</v>
      </c>
      <c r="P200" s="18">
        <f>ROUND(VLOOKUP(O$187&amp;"_2",管理者用人口入力シート!CO:DL,Q200,FALSE),0)</f>
        <v>13</v>
      </c>
      <c r="Q200" s="2">
        <v>15</v>
      </c>
    </row>
    <row r="201" spans="7:17" x14ac:dyDescent="0.15">
      <c r="G201" s="2" t="s">
        <v>12</v>
      </c>
      <c r="H201" s="18">
        <f>ROUND(VLOOKUP(H$187&amp;"_1",管理者用人口入力シート!BH:CE,J201,FALSE),0)</f>
        <v>15</v>
      </c>
      <c r="I201" s="18">
        <f>ROUND(VLOOKUP(H$187&amp;"_2",管理者用人口入力シート!BH:CE,J201,FALSE),0)</f>
        <v>13</v>
      </c>
      <c r="J201" s="2">
        <v>16</v>
      </c>
      <c r="N201" s="2" t="s">
        <v>12</v>
      </c>
      <c r="O201" s="18">
        <f>ROUND(VLOOKUP(O$187&amp;"_1",管理者用人口入力シート!CO:DL,Q201,FALSE),0)</f>
        <v>15</v>
      </c>
      <c r="P201" s="18">
        <f>ROUND(VLOOKUP(O$187&amp;"_2",管理者用人口入力シート!CO:DL,Q201,FALSE),0)</f>
        <v>14</v>
      </c>
      <c r="Q201" s="2">
        <v>16</v>
      </c>
    </row>
    <row r="202" spans="7:17" x14ac:dyDescent="0.15">
      <c r="G202" s="2" t="s">
        <v>13</v>
      </c>
      <c r="H202" s="18">
        <f>ROUND(VLOOKUP(H$187&amp;"_1",管理者用人口入力シート!BH:CE,J202,FALSE),0)</f>
        <v>19</v>
      </c>
      <c r="I202" s="18">
        <f>ROUND(VLOOKUP(H$187&amp;"_2",管理者用人口入力シート!BH:CE,J202,FALSE),0)</f>
        <v>19</v>
      </c>
      <c r="J202" s="2">
        <v>17</v>
      </c>
      <c r="N202" s="2" t="s">
        <v>13</v>
      </c>
      <c r="O202" s="18">
        <f>ROUND(VLOOKUP(O$187&amp;"_1",管理者用人口入力シート!CO:DL,Q202,FALSE),0)</f>
        <v>19</v>
      </c>
      <c r="P202" s="18">
        <f>ROUND(VLOOKUP(O$187&amp;"_2",管理者用人口入力シート!CO:DL,Q202,FALSE),0)</f>
        <v>20</v>
      </c>
      <c r="Q202" s="2">
        <v>17</v>
      </c>
    </row>
    <row r="203" spans="7:17" x14ac:dyDescent="0.15">
      <c r="G203" s="2" t="s">
        <v>14</v>
      </c>
      <c r="H203" s="18">
        <f>ROUND(VLOOKUP(H$187&amp;"_1",管理者用人口入力シート!BH:CE,J203,FALSE),0)</f>
        <v>19</v>
      </c>
      <c r="I203" s="18">
        <f>ROUND(VLOOKUP(H$187&amp;"_2",管理者用人口入力シート!BH:CE,J203,FALSE),0)</f>
        <v>25</v>
      </c>
      <c r="J203" s="2">
        <v>18</v>
      </c>
      <c r="N203" s="2" t="s">
        <v>14</v>
      </c>
      <c r="O203" s="18">
        <f>ROUND(VLOOKUP(O$187&amp;"_1",管理者用人口入力シート!CO:DL,Q203,FALSE),0)</f>
        <v>19</v>
      </c>
      <c r="P203" s="18">
        <f>ROUND(VLOOKUP(O$187&amp;"_2",管理者用人口入力シート!CO:DL,Q203,FALSE),0)</f>
        <v>25</v>
      </c>
      <c r="Q203" s="2">
        <v>18</v>
      </c>
    </row>
    <row r="204" spans="7:17" x14ac:dyDescent="0.15">
      <c r="G204" s="2" t="s">
        <v>15</v>
      </c>
      <c r="H204" s="18">
        <f>ROUND(VLOOKUP(H$187&amp;"_1",管理者用人口入力シート!BH:CE,J204,FALSE),0)</f>
        <v>18</v>
      </c>
      <c r="I204" s="18">
        <f>ROUND(VLOOKUP(H$187&amp;"_2",管理者用人口入力シート!BH:CE,J204,FALSE),0)</f>
        <v>28</v>
      </c>
      <c r="J204" s="2">
        <v>19</v>
      </c>
      <c r="N204" s="2" t="s">
        <v>15</v>
      </c>
      <c r="O204" s="18">
        <f>ROUND(VLOOKUP(O$187&amp;"_1",管理者用人口入力シート!CO:DL,Q204,FALSE),0)</f>
        <v>18</v>
      </c>
      <c r="P204" s="18">
        <f>ROUND(VLOOKUP(O$187&amp;"_2",管理者用人口入力シート!CO:DL,Q204,FALSE),0)</f>
        <v>28</v>
      </c>
      <c r="Q204" s="2">
        <v>19</v>
      </c>
    </row>
    <row r="205" spans="7:17" x14ac:dyDescent="0.15">
      <c r="G205" s="2" t="s">
        <v>16</v>
      </c>
      <c r="H205" s="18">
        <f>ROUND(VLOOKUP(H$187&amp;"_1",管理者用人口入力シート!BH:CE,J205,FALSE),0)</f>
        <v>17</v>
      </c>
      <c r="I205" s="18">
        <f>ROUND(VLOOKUP(H$187&amp;"_2",管理者用人口入力シート!BH:CE,J205,FALSE),0)</f>
        <v>23</v>
      </c>
      <c r="J205" s="2">
        <v>20</v>
      </c>
      <c r="N205" s="2" t="s">
        <v>16</v>
      </c>
      <c r="O205" s="18">
        <f>ROUND(VLOOKUP(O$187&amp;"_1",管理者用人口入力シート!CO:DL,Q205,FALSE),0)</f>
        <v>17</v>
      </c>
      <c r="P205" s="18">
        <f>ROUND(VLOOKUP(O$187&amp;"_2",管理者用人口入力シート!CO:DL,Q205,FALSE),0)</f>
        <v>23</v>
      </c>
      <c r="Q205" s="2">
        <v>20</v>
      </c>
    </row>
    <row r="206" spans="7:17" x14ac:dyDescent="0.15">
      <c r="G206" s="2" t="s">
        <v>17</v>
      </c>
      <c r="H206" s="18">
        <f>ROUND(VLOOKUP(H$187&amp;"_1",管理者用人口入力シート!BH:CE,J206,FALSE),0)</f>
        <v>14</v>
      </c>
      <c r="I206" s="18">
        <f>ROUND(VLOOKUP(H$187&amp;"_2",管理者用人口入力シート!BH:CE,J206,FALSE),0)</f>
        <v>23</v>
      </c>
      <c r="J206" s="2">
        <v>21</v>
      </c>
      <c r="N206" s="2" t="s">
        <v>17</v>
      </c>
      <c r="O206" s="18">
        <f>ROUND(VLOOKUP(O$187&amp;"_1",管理者用人口入力シート!CO:DL,Q206,FALSE),0)</f>
        <v>14</v>
      </c>
      <c r="P206" s="18">
        <f>ROUND(VLOOKUP(O$187&amp;"_2",管理者用人口入力シート!CO:DL,Q206,FALSE),0)</f>
        <v>23</v>
      </c>
      <c r="Q206" s="2">
        <v>21</v>
      </c>
    </row>
    <row r="207" spans="7:17" x14ac:dyDescent="0.15">
      <c r="G207" s="2" t="s">
        <v>18</v>
      </c>
      <c r="H207" s="18">
        <f>ROUND(VLOOKUP(H$187&amp;"_1",管理者用人口入力シート!BH:CE,J207,FALSE),0)</f>
        <v>8</v>
      </c>
      <c r="I207" s="18">
        <f>ROUND(VLOOKUP(H$187&amp;"_2",管理者用人口入力シート!BH:CE,J207,FALSE),0)</f>
        <v>19</v>
      </c>
      <c r="J207" s="2">
        <v>22</v>
      </c>
      <c r="N207" s="2" t="s">
        <v>18</v>
      </c>
      <c r="O207" s="18">
        <f>ROUND(VLOOKUP(O$187&amp;"_1",管理者用人口入力シート!CO:DL,Q207,FALSE),0)</f>
        <v>8</v>
      </c>
      <c r="P207" s="18">
        <f>ROUND(VLOOKUP(O$187&amp;"_2",管理者用人口入力シート!CO:DL,Q207,FALSE),0)</f>
        <v>19</v>
      </c>
      <c r="Q207" s="2">
        <v>22</v>
      </c>
    </row>
    <row r="208" spans="7:17" x14ac:dyDescent="0.15">
      <c r="G208" s="2" t="s">
        <v>19</v>
      </c>
      <c r="H208" s="18">
        <f>ROUND(VLOOKUP(H$187&amp;"_1",管理者用人口入力シート!BH:CE,J208,FALSE),0)</f>
        <v>0</v>
      </c>
      <c r="I208" s="18">
        <f>ROUND(VLOOKUP(H$187&amp;"_2",管理者用人口入力シート!BH:CE,J208,FALSE),0)</f>
        <v>7</v>
      </c>
      <c r="J208" s="2">
        <v>23</v>
      </c>
      <c r="N208" s="2" t="s">
        <v>19</v>
      </c>
      <c r="O208" s="18">
        <f>ROUND(VLOOKUP(O$187&amp;"_1",管理者用人口入力シート!CO:DL,Q208,FALSE),0)</f>
        <v>0</v>
      </c>
      <c r="P208" s="18">
        <f>ROUND(VLOOKUP(O$187&amp;"_2",管理者用人口入力シート!CO:DL,Q208,FALSE),0)</f>
        <v>7</v>
      </c>
      <c r="Q208" s="2">
        <v>23</v>
      </c>
    </row>
    <row r="209" spans="7:17" x14ac:dyDescent="0.15">
      <c r="G209" s="2" t="s">
        <v>20</v>
      </c>
      <c r="H209" s="18">
        <f>ROUND(VLOOKUP(H$187&amp;"_1",管理者用人口入力シート!BH:CE,J209,FALSE),0)</f>
        <v>0</v>
      </c>
      <c r="I209" s="18">
        <f>ROUND(VLOOKUP(H$187&amp;"_2",管理者用人口入力シート!BH:CE,J209,FALSE),0)</f>
        <v>0</v>
      </c>
      <c r="J209" s="2">
        <v>24</v>
      </c>
      <c r="N209" s="2" t="s">
        <v>20</v>
      </c>
      <c r="O209" s="18">
        <f>ROUND(VLOOKUP(O$187&amp;"_1",管理者用人口入力シート!CO:DL,Q209,FALSE),0)</f>
        <v>0</v>
      </c>
      <c r="P209" s="18">
        <f>ROUND(VLOOKUP(O$187&amp;"_2",管理者用人口入力シート!CO:DL,Q209,FALSE),0)</f>
        <v>0</v>
      </c>
      <c r="Q209" s="2">
        <v>24</v>
      </c>
    </row>
    <row r="212" spans="7:17" x14ac:dyDescent="0.15">
      <c r="N212" s="2" t="s">
        <v>273</v>
      </c>
      <c r="O212" s="342">
        <f>O91</f>
        <v>2030</v>
      </c>
      <c r="P212" s="343"/>
      <c r="Q212" s="2" t="s">
        <v>114</v>
      </c>
    </row>
    <row r="213" spans="7:17" x14ac:dyDescent="0.15">
      <c r="N213" s="2" t="s">
        <v>115</v>
      </c>
      <c r="O213" s="84" t="s">
        <v>329</v>
      </c>
      <c r="P213" s="84" t="s">
        <v>330</v>
      </c>
    </row>
    <row r="214" spans="7:17" x14ac:dyDescent="0.15">
      <c r="N214" s="2" t="s">
        <v>0</v>
      </c>
      <c r="O214" s="18">
        <f>H93+I93</f>
        <v>17</v>
      </c>
      <c r="P214" s="18">
        <f>O93+P93</f>
        <v>20</v>
      </c>
      <c r="Q214" s="2">
        <v>4</v>
      </c>
    </row>
    <row r="215" spans="7:17" x14ac:dyDescent="0.15">
      <c r="N215" s="2" t="s">
        <v>1</v>
      </c>
      <c r="O215" s="18">
        <f t="shared" ref="O215:O233" si="37">H94+I94</f>
        <v>20</v>
      </c>
      <c r="P215" s="18">
        <f t="shared" ref="P215:P233" si="38">O94+P94</f>
        <v>22</v>
      </c>
      <c r="Q215" s="2">
        <v>5</v>
      </c>
    </row>
    <row r="216" spans="7:17" x14ac:dyDescent="0.15">
      <c r="N216" s="2" t="s">
        <v>2</v>
      </c>
      <c r="O216" s="18">
        <f t="shared" si="37"/>
        <v>27</v>
      </c>
      <c r="P216" s="18">
        <f t="shared" si="38"/>
        <v>29</v>
      </c>
      <c r="Q216" s="2">
        <v>6</v>
      </c>
    </row>
    <row r="217" spans="7:17" x14ac:dyDescent="0.15">
      <c r="N217" s="2" t="s">
        <v>3</v>
      </c>
      <c r="O217" s="18">
        <f t="shared" si="37"/>
        <v>29</v>
      </c>
      <c r="P217" s="18">
        <f t="shared" si="38"/>
        <v>31</v>
      </c>
      <c r="Q217" s="2">
        <v>7</v>
      </c>
    </row>
    <row r="218" spans="7:17" x14ac:dyDescent="0.15">
      <c r="N218" s="2" t="s">
        <v>4</v>
      </c>
      <c r="O218" s="18">
        <f t="shared" si="37"/>
        <v>17</v>
      </c>
      <c r="P218" s="18">
        <f t="shared" si="38"/>
        <v>17</v>
      </c>
      <c r="Q218" s="2">
        <v>8</v>
      </c>
    </row>
    <row r="219" spans="7:17" x14ac:dyDescent="0.15">
      <c r="N219" s="2" t="s">
        <v>5</v>
      </c>
      <c r="O219" s="18">
        <f t="shared" si="37"/>
        <v>17</v>
      </c>
      <c r="P219" s="18">
        <f t="shared" si="38"/>
        <v>21</v>
      </c>
      <c r="Q219" s="2">
        <v>9</v>
      </c>
    </row>
    <row r="220" spans="7:17" x14ac:dyDescent="0.15">
      <c r="N220" s="2" t="s">
        <v>6</v>
      </c>
      <c r="O220" s="18">
        <f t="shared" si="37"/>
        <v>22</v>
      </c>
      <c r="P220" s="18">
        <f t="shared" si="38"/>
        <v>26</v>
      </c>
      <c r="Q220" s="2">
        <v>10</v>
      </c>
    </row>
    <row r="221" spans="7:17" x14ac:dyDescent="0.15">
      <c r="N221" s="2" t="s">
        <v>7</v>
      </c>
      <c r="O221" s="18">
        <f t="shared" si="37"/>
        <v>22</v>
      </c>
      <c r="P221" s="18">
        <f t="shared" si="38"/>
        <v>22</v>
      </c>
      <c r="Q221" s="2">
        <v>11</v>
      </c>
    </row>
    <row r="222" spans="7:17" x14ac:dyDescent="0.15">
      <c r="N222" s="2" t="s">
        <v>8</v>
      </c>
      <c r="O222" s="18">
        <f t="shared" si="37"/>
        <v>29</v>
      </c>
      <c r="P222" s="18">
        <f t="shared" si="38"/>
        <v>30</v>
      </c>
      <c r="Q222" s="2">
        <v>12</v>
      </c>
    </row>
    <row r="223" spans="7:17" x14ac:dyDescent="0.15">
      <c r="N223" s="2" t="s">
        <v>9</v>
      </c>
      <c r="O223" s="18">
        <f t="shared" si="37"/>
        <v>41</v>
      </c>
      <c r="P223" s="18">
        <f t="shared" si="38"/>
        <v>42</v>
      </c>
      <c r="Q223" s="2">
        <v>13</v>
      </c>
    </row>
    <row r="224" spans="7:17" x14ac:dyDescent="0.15">
      <c r="N224" s="2" t="s">
        <v>10</v>
      </c>
      <c r="O224" s="18">
        <f t="shared" si="37"/>
        <v>49</v>
      </c>
      <c r="P224" s="18">
        <f t="shared" si="38"/>
        <v>49</v>
      </c>
      <c r="Q224" s="2">
        <v>14</v>
      </c>
    </row>
    <row r="225" spans="14:17" x14ac:dyDescent="0.15">
      <c r="N225" s="2" t="s">
        <v>11</v>
      </c>
      <c r="O225" s="18">
        <f t="shared" si="37"/>
        <v>54</v>
      </c>
      <c r="P225" s="18">
        <f t="shared" si="38"/>
        <v>54</v>
      </c>
      <c r="Q225" s="2">
        <v>15</v>
      </c>
    </row>
    <row r="226" spans="14:17" x14ac:dyDescent="0.15">
      <c r="N226" s="2" t="s">
        <v>12</v>
      </c>
      <c r="O226" s="18">
        <f t="shared" si="37"/>
        <v>54</v>
      </c>
      <c r="P226" s="18">
        <f t="shared" si="38"/>
        <v>54</v>
      </c>
      <c r="Q226" s="2">
        <v>16</v>
      </c>
    </row>
    <row r="227" spans="14:17" x14ac:dyDescent="0.15">
      <c r="N227" s="2" t="s">
        <v>13</v>
      </c>
      <c r="O227" s="18">
        <f t="shared" si="37"/>
        <v>61</v>
      </c>
      <c r="P227" s="18">
        <f t="shared" si="38"/>
        <v>61</v>
      </c>
      <c r="Q227" s="2">
        <v>17</v>
      </c>
    </row>
    <row r="228" spans="14:17" x14ac:dyDescent="0.15">
      <c r="N228" s="2" t="s">
        <v>14</v>
      </c>
      <c r="O228" s="18">
        <f t="shared" si="37"/>
        <v>74</v>
      </c>
      <c r="P228" s="18">
        <f t="shared" si="38"/>
        <v>74</v>
      </c>
      <c r="Q228" s="2">
        <v>18</v>
      </c>
    </row>
    <row r="229" spans="14:17" x14ac:dyDescent="0.15">
      <c r="N229" s="2" t="s">
        <v>15</v>
      </c>
      <c r="O229" s="18">
        <f t="shared" si="37"/>
        <v>81</v>
      </c>
      <c r="P229" s="18">
        <f t="shared" si="38"/>
        <v>81</v>
      </c>
      <c r="Q229" s="2">
        <v>19</v>
      </c>
    </row>
    <row r="230" spans="14:17" x14ac:dyDescent="0.15">
      <c r="N230" s="2" t="s">
        <v>16</v>
      </c>
      <c r="O230" s="18">
        <f t="shared" si="37"/>
        <v>71</v>
      </c>
      <c r="P230" s="18">
        <f t="shared" si="38"/>
        <v>71</v>
      </c>
      <c r="Q230" s="2">
        <v>20</v>
      </c>
    </row>
    <row r="231" spans="14:17" x14ac:dyDescent="0.15">
      <c r="N231" s="2" t="s">
        <v>17</v>
      </c>
      <c r="O231" s="18">
        <f t="shared" si="37"/>
        <v>50</v>
      </c>
      <c r="P231" s="18">
        <f t="shared" si="38"/>
        <v>50</v>
      </c>
      <c r="Q231" s="2">
        <v>21</v>
      </c>
    </row>
    <row r="232" spans="14:17" x14ac:dyDescent="0.15">
      <c r="N232" s="2" t="s">
        <v>18</v>
      </c>
      <c r="O232" s="18">
        <f t="shared" si="37"/>
        <v>29</v>
      </c>
      <c r="P232" s="18">
        <f t="shared" si="38"/>
        <v>29</v>
      </c>
      <c r="Q232" s="2">
        <v>22</v>
      </c>
    </row>
    <row r="233" spans="14:17" x14ac:dyDescent="0.15">
      <c r="N233" s="2" t="s">
        <v>19</v>
      </c>
      <c r="O233" s="18">
        <f t="shared" si="37"/>
        <v>7</v>
      </c>
      <c r="P233" s="18">
        <f t="shared" si="38"/>
        <v>7</v>
      </c>
      <c r="Q233" s="2">
        <v>23</v>
      </c>
    </row>
    <row r="234" spans="14:17" x14ac:dyDescent="0.15">
      <c r="N234" s="2" t="s">
        <v>20</v>
      </c>
      <c r="O234" s="18">
        <f>H113+I113</f>
        <v>0</v>
      </c>
      <c r="P234" s="18">
        <f>O113+P113</f>
        <v>0</v>
      </c>
      <c r="Q234" s="2">
        <v>24</v>
      </c>
    </row>
    <row r="236" spans="14:17" x14ac:dyDescent="0.15">
      <c r="N236" s="2" t="s">
        <v>273</v>
      </c>
      <c r="O236" s="342">
        <f>O139</f>
        <v>2040</v>
      </c>
      <c r="P236" s="343"/>
      <c r="Q236" s="2" t="s">
        <v>114</v>
      </c>
    </row>
    <row r="237" spans="14:17" x14ac:dyDescent="0.15">
      <c r="N237" s="2" t="s">
        <v>115</v>
      </c>
      <c r="O237" s="84" t="s">
        <v>329</v>
      </c>
      <c r="P237" s="84" t="s">
        <v>330</v>
      </c>
    </row>
    <row r="238" spans="14:17" x14ac:dyDescent="0.15">
      <c r="N238" s="2" t="s">
        <v>0</v>
      </c>
      <c r="O238" s="18">
        <f>H141+I141</f>
        <v>13</v>
      </c>
      <c r="P238" s="18">
        <f>O141+P141</f>
        <v>18</v>
      </c>
      <c r="Q238" s="2">
        <v>4</v>
      </c>
    </row>
    <row r="239" spans="14:17" x14ac:dyDescent="0.15">
      <c r="N239" s="2" t="s">
        <v>1</v>
      </c>
      <c r="O239" s="18">
        <f t="shared" ref="O239:O257" si="39">H142+I142</f>
        <v>17</v>
      </c>
      <c r="P239" s="18">
        <f t="shared" ref="P239:P257" si="40">O142+P142</f>
        <v>22</v>
      </c>
      <c r="Q239" s="2">
        <v>5</v>
      </c>
    </row>
    <row r="240" spans="14:17" x14ac:dyDescent="0.15">
      <c r="N240" s="2" t="s">
        <v>2</v>
      </c>
      <c r="O240" s="18">
        <f t="shared" si="39"/>
        <v>19</v>
      </c>
      <c r="P240" s="18">
        <f t="shared" si="40"/>
        <v>26</v>
      </c>
      <c r="Q240" s="2">
        <v>6</v>
      </c>
    </row>
    <row r="241" spans="14:17" x14ac:dyDescent="0.15">
      <c r="N241" s="2" t="s">
        <v>3</v>
      </c>
      <c r="O241" s="18">
        <f t="shared" si="39"/>
        <v>16</v>
      </c>
      <c r="P241" s="18">
        <f t="shared" si="40"/>
        <v>20</v>
      </c>
      <c r="Q241" s="2">
        <v>7</v>
      </c>
    </row>
    <row r="242" spans="14:17" x14ac:dyDescent="0.15">
      <c r="N242" s="2" t="s">
        <v>4</v>
      </c>
      <c r="O242" s="18">
        <f t="shared" si="39"/>
        <v>12</v>
      </c>
      <c r="P242" s="18">
        <f t="shared" si="40"/>
        <v>12</v>
      </c>
      <c r="Q242" s="2">
        <v>8</v>
      </c>
    </row>
    <row r="243" spans="14:17" x14ac:dyDescent="0.15">
      <c r="N243" s="2" t="s">
        <v>5</v>
      </c>
      <c r="O243" s="18">
        <f t="shared" si="39"/>
        <v>15</v>
      </c>
      <c r="P243" s="18">
        <f t="shared" si="40"/>
        <v>19</v>
      </c>
      <c r="Q243" s="2">
        <v>9</v>
      </c>
    </row>
    <row r="244" spans="14:17" x14ac:dyDescent="0.15">
      <c r="N244" s="2" t="s">
        <v>6</v>
      </c>
      <c r="O244" s="18">
        <f t="shared" si="39"/>
        <v>15</v>
      </c>
      <c r="P244" s="18">
        <f t="shared" si="40"/>
        <v>19</v>
      </c>
      <c r="Q244" s="2">
        <v>10</v>
      </c>
    </row>
    <row r="245" spans="14:17" x14ac:dyDescent="0.15">
      <c r="N245" s="2" t="s">
        <v>7</v>
      </c>
      <c r="O245" s="18">
        <f t="shared" si="39"/>
        <v>17</v>
      </c>
      <c r="P245" s="18">
        <f t="shared" si="40"/>
        <v>21</v>
      </c>
      <c r="Q245" s="2">
        <v>11</v>
      </c>
    </row>
    <row r="246" spans="14:17" x14ac:dyDescent="0.15">
      <c r="N246" s="2" t="s">
        <v>8</v>
      </c>
      <c r="O246" s="18">
        <f t="shared" si="39"/>
        <v>22</v>
      </c>
      <c r="P246" s="18">
        <f t="shared" si="40"/>
        <v>28</v>
      </c>
      <c r="Q246" s="2">
        <v>12</v>
      </c>
    </row>
    <row r="247" spans="14:17" x14ac:dyDescent="0.15">
      <c r="N247" s="2" t="s">
        <v>9</v>
      </c>
      <c r="O247" s="18">
        <f t="shared" si="39"/>
        <v>23</v>
      </c>
      <c r="P247" s="18">
        <f t="shared" si="40"/>
        <v>24</v>
      </c>
      <c r="Q247" s="2">
        <v>13</v>
      </c>
    </row>
    <row r="248" spans="14:17" x14ac:dyDescent="0.15">
      <c r="N248" s="2" t="s">
        <v>10</v>
      </c>
      <c r="O248" s="18">
        <f t="shared" si="39"/>
        <v>29</v>
      </c>
      <c r="P248" s="18">
        <f t="shared" si="40"/>
        <v>31</v>
      </c>
      <c r="Q248" s="2">
        <v>14</v>
      </c>
    </row>
    <row r="249" spans="14:17" x14ac:dyDescent="0.15">
      <c r="N249" s="2" t="s">
        <v>11</v>
      </c>
      <c r="O249" s="18">
        <f t="shared" si="39"/>
        <v>40</v>
      </c>
      <c r="P249" s="18">
        <f t="shared" si="40"/>
        <v>41</v>
      </c>
      <c r="Q249" s="2">
        <v>15</v>
      </c>
    </row>
    <row r="250" spans="14:17" x14ac:dyDescent="0.15">
      <c r="N250" s="2" t="s">
        <v>12</v>
      </c>
      <c r="O250" s="18">
        <f t="shared" si="39"/>
        <v>48</v>
      </c>
      <c r="P250" s="18">
        <f t="shared" si="40"/>
        <v>48</v>
      </c>
      <c r="Q250" s="2">
        <v>16</v>
      </c>
    </row>
    <row r="251" spans="14:17" x14ac:dyDescent="0.15">
      <c r="N251" s="2" t="s">
        <v>13</v>
      </c>
      <c r="O251" s="18">
        <f t="shared" si="39"/>
        <v>51</v>
      </c>
      <c r="P251" s="18">
        <f t="shared" si="40"/>
        <v>51</v>
      </c>
      <c r="Q251" s="2">
        <v>17</v>
      </c>
    </row>
    <row r="252" spans="14:17" x14ac:dyDescent="0.15">
      <c r="N252" s="2" t="s">
        <v>14</v>
      </c>
      <c r="O252" s="18">
        <f t="shared" si="39"/>
        <v>50</v>
      </c>
      <c r="P252" s="18">
        <f t="shared" si="40"/>
        <v>50</v>
      </c>
      <c r="Q252" s="2">
        <v>18</v>
      </c>
    </row>
    <row r="253" spans="14:17" x14ac:dyDescent="0.15">
      <c r="N253" s="2" t="s">
        <v>15</v>
      </c>
      <c r="O253" s="18">
        <f t="shared" si="39"/>
        <v>54</v>
      </c>
      <c r="P253" s="18">
        <f t="shared" si="40"/>
        <v>54</v>
      </c>
      <c r="Q253" s="2">
        <v>19</v>
      </c>
    </row>
    <row r="254" spans="14:17" x14ac:dyDescent="0.15">
      <c r="N254" s="2" t="s">
        <v>16</v>
      </c>
      <c r="O254" s="18">
        <f t="shared" si="39"/>
        <v>60</v>
      </c>
      <c r="P254" s="18">
        <f t="shared" si="40"/>
        <v>60</v>
      </c>
      <c r="Q254" s="2">
        <v>20</v>
      </c>
    </row>
    <row r="255" spans="14:17" x14ac:dyDescent="0.15">
      <c r="N255" s="2" t="s">
        <v>17</v>
      </c>
      <c r="O255" s="18">
        <f t="shared" si="39"/>
        <v>55</v>
      </c>
      <c r="P255" s="18">
        <f t="shared" si="40"/>
        <v>55</v>
      </c>
      <c r="Q255" s="2">
        <v>21</v>
      </c>
    </row>
    <row r="256" spans="14:17" x14ac:dyDescent="0.15">
      <c r="N256" s="2" t="s">
        <v>18</v>
      </c>
      <c r="O256" s="18">
        <f t="shared" si="39"/>
        <v>31</v>
      </c>
      <c r="P256" s="18">
        <f t="shared" si="40"/>
        <v>31</v>
      </c>
      <c r="Q256" s="2">
        <v>22</v>
      </c>
    </row>
    <row r="257" spans="14:17" x14ac:dyDescent="0.15">
      <c r="N257" s="2" t="s">
        <v>19</v>
      </c>
      <c r="O257" s="18">
        <f t="shared" si="39"/>
        <v>7</v>
      </c>
      <c r="P257" s="18">
        <f t="shared" si="40"/>
        <v>7</v>
      </c>
      <c r="Q257" s="2">
        <v>23</v>
      </c>
    </row>
    <row r="258" spans="14:17" x14ac:dyDescent="0.15">
      <c r="N258" s="2" t="s">
        <v>20</v>
      </c>
      <c r="O258" s="18">
        <f>H161+I161</f>
        <v>0</v>
      </c>
      <c r="P258" s="18">
        <f>O161+P161</f>
        <v>0</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2019-03-18T09:07:36Z</cp:lastPrinted>
  <dcterms:created xsi:type="dcterms:W3CDTF">2018-08-17T00:57:13Z</dcterms:created>
  <dcterms:modified xsi:type="dcterms:W3CDTF">2023-03-06T08:08:08Z</dcterms:modified>
</cp:coreProperties>
</file>