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ZpCha4rP3tUAvLQEGqF0wzgH9w0U5vVFAaNeuAhXLk/X/fsrcK5X8hx/LiRaDDL2khrZzIee5YeBUSySBdtJvg==" workbookSaltValue="a6lhqlO3CH8+IsaXoLk1DQ=="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A2" i="19"/>
  <c r="A2" i="15"/>
  <c r="A15" i="25"/>
  <c r="BH16" i="17" l="1"/>
  <c r="BH19" i="17"/>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BB8" i="17" s="1"/>
  <c r="CA4" i="17" s="1"/>
  <c r="AX4" i="17"/>
  <c r="AT4" i="17"/>
  <c r="AP4" i="17"/>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BI13" i="17"/>
  <c r="O46" i="18"/>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T8" i="17" l="1"/>
  <c r="BS4" i="17" s="1"/>
  <c r="BT7" i="17" s="1"/>
  <c r="AP8" i="17"/>
  <c r="BO4" i="17" s="1"/>
  <c r="BO5" i="17" s="1"/>
  <c r="AX8" i="17"/>
  <c r="BW4" i="17" s="1"/>
  <c r="EL4" i="17" s="1"/>
  <c r="O14" i="18"/>
  <c r="AV8" i="17"/>
  <c r="BU4" i="17" s="1"/>
  <c r="DB4" i="17" s="1"/>
  <c r="BD8" i="17"/>
  <c r="CC4" i="17" s="1"/>
  <c r="DJ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EJ4" i="17"/>
  <c r="O53" i="18"/>
  <c r="O43" i="18"/>
  <c r="O25" i="18"/>
  <c r="O64" i="18"/>
  <c r="O56" i="18"/>
  <c r="O20" i="18"/>
  <c r="A77" i="21" s="1"/>
  <c r="EP4" i="17"/>
  <c r="CY3" i="17"/>
  <c r="CZ6" i="17" s="1"/>
  <c r="CV4" i="17"/>
  <c r="ED4" i="17"/>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EN3" i="17"/>
  <c r="EN20" i="17" s="1"/>
  <c r="EP3" i="17"/>
  <c r="EP20" i="17" s="1"/>
  <c r="CT3" i="17"/>
  <c r="CU6" i="17" s="1"/>
  <c r="EB3" i="17"/>
  <c r="DB3" i="17"/>
  <c r="EJ3" i="17"/>
  <c r="EJ20" i="17" s="1"/>
  <c r="CS3" i="17"/>
  <c r="CT6" i="17" s="1"/>
  <c r="EA3" i="17"/>
  <c r="EA20" i="17" s="1"/>
  <c r="O35" i="18"/>
  <c r="O17" i="18"/>
  <c r="CT4" i="17"/>
  <c r="CD6" i="17"/>
  <c r="BM5" i="17"/>
  <c r="CE6" i="17"/>
  <c r="CO10" i="17"/>
  <c r="CP11" i="17"/>
  <c r="CO11" i="17" s="1"/>
  <c r="BI5" i="17"/>
  <c r="BH5" i="17" s="1"/>
  <c r="BH4" i="17"/>
  <c r="BI14" i="17"/>
  <c r="BH14" i="17" s="1"/>
  <c r="BH13" i="17"/>
  <c r="CE5" i="17"/>
  <c r="BT5" i="17"/>
  <c r="BU6" i="17"/>
  <c r="BW6" i="17"/>
  <c r="BO6" i="17"/>
  <c r="CH3" i="17"/>
  <c r="BR6" i="17"/>
  <c r="BS6" i="17"/>
  <c r="BQ6" i="17"/>
  <c r="DI3" i="17"/>
  <c r="CC6" i="17"/>
  <c r="BM6" i="17"/>
  <c r="CG3" i="17"/>
  <c r="DH4" i="17"/>
  <c r="CM3" i="17"/>
  <c r="DG3" i="17"/>
  <c r="CA6" i="17"/>
  <c r="CJ3" i="17"/>
  <c r="DF3" i="17"/>
  <c r="BZ6" i="17"/>
  <c r="DE3" i="17"/>
  <c r="BY6" i="17"/>
  <c r="CI3" i="17"/>
  <c r="DH3" i="17"/>
  <c r="CB6" i="17"/>
  <c r="CA5" i="17"/>
  <c r="BN6" i="17"/>
  <c r="BV6" i="17"/>
  <c r="BX6" i="17"/>
  <c r="BP6" i="17"/>
  <c r="BT6" i="17"/>
  <c r="O42" i="18"/>
  <c r="O60" i="18"/>
  <c r="O52" i="18"/>
  <c r="O24" i="18"/>
  <c r="O34" i="18"/>
  <c r="O16" i="18"/>
  <c r="BS5" i="17" l="1"/>
  <c r="EH4" i="17"/>
  <c r="CZ4" i="17"/>
  <c r="DA7" i="17" s="1"/>
  <c r="DD4" i="17"/>
  <c r="DD5" i="17" s="1"/>
  <c r="BW5" i="17"/>
  <c r="O75" i="18"/>
  <c r="ER4" i="17"/>
  <c r="ES7" i="17" s="1"/>
  <c r="CC5" i="17"/>
  <c r="CJ5" i="17" s="1"/>
  <c r="DI7" i="17"/>
  <c r="DJ10" i="17" s="1"/>
  <c r="EQ4" i="17"/>
  <c r="EQ21" i="17" s="1"/>
  <c r="EQ22" i="17" s="1"/>
  <c r="BQ5" i="17"/>
  <c r="BU5" i="17"/>
  <c r="DB7" i="17"/>
  <c r="DC10" i="17" s="1"/>
  <c r="BU7" i="17"/>
  <c r="BV10" i="17" s="1"/>
  <c r="BW13" i="17" s="1"/>
  <c r="DG4" i="17"/>
  <c r="DG5" i="17" s="1"/>
  <c r="DK4" i="17"/>
  <c r="DL7" i="17" s="1"/>
  <c r="DL8" i="17" s="1"/>
  <c r="BR7" i="17"/>
  <c r="BR8" i="17" s="1"/>
  <c r="CD7" i="17"/>
  <c r="CD8" i="17" s="1"/>
  <c r="BR5" i="17"/>
  <c r="O71" i="18"/>
  <c r="O76" i="18"/>
  <c r="E74" i="15"/>
  <c r="CE7" i="17"/>
  <c r="CE8" i="17" s="1"/>
  <c r="ES4" i="17"/>
  <c r="ES21" i="17" s="1"/>
  <c r="CY4" i="17"/>
  <c r="CZ7" i="17" s="1"/>
  <c r="DA10" i="17" s="1"/>
  <c r="DK7" i="17"/>
  <c r="DL10" i="17" s="1"/>
  <c r="P137" i="18" s="1"/>
  <c r="O88" i="18"/>
  <c r="K6" i="18"/>
  <c r="R6" i="18" s="1"/>
  <c r="P6" i="18"/>
  <c r="O82" i="18"/>
  <c r="BY5" i="17"/>
  <c r="P79" i="18"/>
  <c r="DI4" i="17"/>
  <c r="DJ7" i="17" s="1"/>
  <c r="DK10" i="17" s="1"/>
  <c r="CC7" i="17"/>
  <c r="CC8" i="17" s="1"/>
  <c r="O73" i="18"/>
  <c r="E75" i="15"/>
  <c r="P89" i="18"/>
  <c r="CB7" i="17"/>
  <c r="CB8" i="17" s="1"/>
  <c r="P78" i="18"/>
  <c r="O77" i="18"/>
  <c r="CY7" i="17"/>
  <c r="O89" i="18"/>
  <c r="BV5" i="17"/>
  <c r="O81" i="18"/>
  <c r="O79" i="18"/>
  <c r="O78" i="18"/>
  <c r="O72" i="18"/>
  <c r="O74" i="18"/>
  <c r="CI4" i="17"/>
  <c r="BX5" i="17"/>
  <c r="EM4" i="17"/>
  <c r="EM21" i="17" s="1"/>
  <c r="EM22" i="17"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EK7" i="17"/>
  <c r="EJ21" i="17"/>
  <c r="EJ22" i="17" s="1"/>
  <c r="P42" i="18"/>
  <c r="C71" i="15"/>
  <c r="EM7" i="17"/>
  <c r="EM24" i="17" s="1"/>
  <c r="EL21" i="17"/>
  <c r="EL22" i="17" s="1"/>
  <c r="EB20" i="17"/>
  <c r="EW20" i="17" s="1"/>
  <c r="EW3" i="17"/>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I79" i="18"/>
  <c r="BU10" i="17"/>
  <c r="BV13" i="17" s="1"/>
  <c r="I152" i="18" s="1"/>
  <c r="I78" i="18"/>
  <c r="BT10" i="17"/>
  <c r="BU13" i="17" s="1"/>
  <c r="I151" i="18" s="1"/>
  <c r="I77" i="18"/>
  <c r="I75" i="18"/>
  <c r="I81" i="18"/>
  <c r="I82" i="18"/>
  <c r="I86" i="18"/>
  <c r="I80" i="18"/>
  <c r="CE9" i="17"/>
  <c r="H137" i="18" s="1"/>
  <c r="H88" i="18"/>
  <c r="P87" i="18"/>
  <c r="DL5" i="17"/>
  <c r="DA9" i="17"/>
  <c r="DO3" i="17"/>
  <c r="DC6" i="17"/>
  <c r="EQ6" i="17"/>
  <c r="EQ23" i="17" s="1"/>
  <c r="EP5" i="17"/>
  <c r="EC7" i="17"/>
  <c r="ED5" i="17"/>
  <c r="EL5" i="17"/>
  <c r="EM6" i="17"/>
  <c r="EM23" i="17" s="1"/>
  <c r="ER6" i="17"/>
  <c r="ER23" i="17" s="1"/>
  <c r="ES6" i="17"/>
  <c r="ES23" i="17" s="1"/>
  <c r="EP6" i="17"/>
  <c r="EP23" i="17" s="1"/>
  <c r="EY3" i="17"/>
  <c r="EO6" i="17"/>
  <c r="EO23" i="17" s="1"/>
  <c r="ED6" i="17"/>
  <c r="EL6" i="17"/>
  <c r="EL23" i="17" s="1"/>
  <c r="EH5" i="17"/>
  <c r="EI6" i="17"/>
  <c r="EI23" i="17" s="1"/>
  <c r="EJ5" i="17"/>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J5" i="17"/>
  <c r="DT3" i="17"/>
  <c r="BU9" i="17"/>
  <c r="H127" i="18" s="1"/>
  <c r="BT8" i="17"/>
  <c r="BO9" i="17"/>
  <c r="H121" i="18" s="1"/>
  <c r="BZ9" i="17"/>
  <c r="H132" i="18" s="1"/>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DE7" i="17" l="1"/>
  <c r="P82" i="18" s="1"/>
  <c r="P81" i="18"/>
  <c r="P77" i="18"/>
  <c r="CM5" i="17"/>
  <c r="ER7" i="17"/>
  <c r="BU8" i="17"/>
  <c r="ER21" i="17"/>
  <c r="ER22" i="17" s="1"/>
  <c r="DH7" i="17"/>
  <c r="P85" i="18" s="1"/>
  <c r="ER5" i="17"/>
  <c r="EQ5" i="17"/>
  <c r="CD10" i="17"/>
  <c r="CE13" i="17" s="1"/>
  <c r="I113" i="18" s="1"/>
  <c r="O234" i="18" s="1"/>
  <c r="P84" i="18"/>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S22" i="17"/>
  <c r="EY23" i="17"/>
  <c r="ES10" i="17"/>
  <c r="ER24" i="17"/>
  <c r="ER25" i="17" s="1"/>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L11" i="17"/>
  <c r="DD9" i="17"/>
  <c r="O80" i="18"/>
  <c r="BY16" i="17"/>
  <c r="I106" i="18"/>
  <c r="P112" i="18"/>
  <c r="BV16" i="17"/>
  <c r="I103" i="18"/>
  <c r="I102" i="18"/>
  <c r="O84" i="18"/>
  <c r="I112" i="18"/>
  <c r="CA16" i="17"/>
  <c r="I108" i="18"/>
  <c r="BW16" i="17"/>
  <c r="I104" i="18"/>
  <c r="DC8"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BW14" i="17"/>
  <c r="DP6" i="17"/>
  <c r="BP11" i="17"/>
  <c r="BQ12" i="17"/>
  <c r="H147" i="18" s="1"/>
  <c r="CZ8" i="17"/>
  <c r="DI9" i="17"/>
  <c r="O134" i="18" s="1"/>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BU11" i="17"/>
  <c r="BV12" i="17"/>
  <c r="H152" i="18" s="1"/>
  <c r="O249" i="18" s="1"/>
  <c r="EY21" i="17" l="1"/>
  <c r="DP7" i="17"/>
  <c r="EX21" i="17"/>
  <c r="DH8" i="17"/>
  <c r="DQ8" i="17" s="1"/>
  <c r="DQ7" i="17"/>
  <c r="DI10" i="17"/>
  <c r="DJ13" i="17" s="1"/>
  <c r="DK16" i="17" s="1"/>
  <c r="O247" i="18"/>
  <c r="DE13" i="17"/>
  <c r="DF16" i="17" s="1"/>
  <c r="P179" i="18" s="1"/>
  <c r="I136" i="18"/>
  <c r="CE14" i="17"/>
  <c r="CD11" i="17"/>
  <c r="EO8" i="17"/>
  <c r="I161" i="18"/>
  <c r="O258" i="18" s="1"/>
  <c r="BS11" i="17"/>
  <c r="I125" i="18"/>
  <c r="BU16" i="17"/>
  <c r="BV19" i="17" s="1"/>
  <c r="I200" i="18" s="1"/>
  <c r="DQ5" i="17"/>
  <c r="O257" i="18"/>
  <c r="I135" i="18"/>
  <c r="DP5" i="17"/>
  <c r="ET8" i="17"/>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EW22" i="17"/>
  <c r="EX5" i="17"/>
  <c r="O246" i="18"/>
  <c r="O250"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CW11"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DP8" i="17" l="1"/>
  <c r="DQ10" i="17"/>
  <c r="P250" i="18"/>
  <c r="P226" i="18"/>
  <c r="DB16" i="17"/>
  <c r="DC19" i="17" s="1"/>
  <c r="P200" i="18" s="1"/>
  <c r="DG19" i="17"/>
  <c r="P204" i="18" s="1"/>
  <c r="P134" i="18"/>
  <c r="Q45" i="18" s="1"/>
  <c r="DP10" i="17"/>
  <c r="DI11" i="17"/>
  <c r="DP11" i="17" s="1"/>
  <c r="P154" i="18"/>
  <c r="I175" i="18"/>
  <c r="EY8" i="17"/>
  <c r="I45" i="18"/>
  <c r="P45" i="18" s="1"/>
  <c r="P249" i="18"/>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P252" i="18"/>
  <c r="P225" i="18"/>
  <c r="O221" i="18"/>
  <c r="I37" i="18"/>
  <c r="P37" i="18" s="1"/>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Q12" i="17"/>
  <c r="BN13" i="17"/>
  <c r="CH10" i="17"/>
  <c r="DS3" i="17"/>
  <c r="DR3" i="17"/>
  <c r="CM14" i="17"/>
  <c r="CJ14" i="17"/>
  <c r="DR4" i="17"/>
  <c r="DS4" i="17"/>
  <c r="CG9" i="17"/>
  <c r="BN12" i="17"/>
  <c r="CH9" i="17"/>
  <c r="BM11" i="17"/>
  <c r="CH11" i="17" s="1"/>
  <c r="I27" i="18" s="1"/>
  <c r="P27" i="18" s="1"/>
  <c r="CV14" i="17"/>
  <c r="DT12" i="17"/>
  <c r="DN6" i="17"/>
  <c r="BL11" i="17"/>
  <c r="BM12" i="17"/>
  <c r="DP12" i="17"/>
  <c r="CI14" i="17"/>
  <c r="BM13" i="17"/>
  <c r="CG10" i="17"/>
  <c r="H142" i="18" l="1"/>
  <c r="Q37" i="18"/>
  <c r="DQ11" i="17"/>
  <c r="DB17" i="17"/>
  <c r="DC20" i="17"/>
  <c r="P175" i="18"/>
  <c r="O215" i="18"/>
  <c r="CJ19" i="17"/>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DW7" i="17" s="1"/>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O239"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DW8" i="17" l="1"/>
  <c r="DW9" i="17" s="1"/>
  <c r="DW10" i="17"/>
  <c r="DW16" i="17" s="1"/>
  <c r="CF12" i="17"/>
  <c r="CK12" i="17" s="1"/>
  <c r="EY14" i="17"/>
  <c r="CL8" i="17"/>
  <c r="DN8" i="17"/>
  <c r="Q18" i="18" s="1"/>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DO13" i="17"/>
  <c r="DR9" i="17"/>
  <c r="DS9" i="17"/>
  <c r="CU14" i="17"/>
  <c r="CH14" i="17"/>
  <c r="I28" i="18" s="1"/>
  <c r="CL12" i="17" l="1"/>
  <c r="DW17" i="17"/>
  <c r="DX1" i="17" s="1"/>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13" i="17" l="1"/>
  <c r="EE7" i="17"/>
  <c r="C37" i="21"/>
  <c r="EG4" i="17"/>
  <c r="EE10" i="17"/>
  <c r="EG3" i="17"/>
  <c r="EF3" i="17"/>
  <c r="EE9" i="17"/>
  <c r="EF12" i="17" s="1"/>
  <c r="DX18" i="17"/>
  <c r="EE12" i="17"/>
  <c r="EE4" i="17"/>
  <c r="EE6" i="17"/>
  <c r="EF4" i="17"/>
  <c r="EF21" i="17" s="1"/>
  <c r="EE3" i="17"/>
  <c r="EF10"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EG7" i="17" l="1"/>
  <c r="EH10" i="17" s="1"/>
  <c r="CH20" i="17"/>
  <c r="EE23" i="17"/>
  <c r="EE8" i="17"/>
  <c r="EE21" i="17"/>
  <c r="EU4" i="17"/>
  <c r="FB4" i="17"/>
  <c r="EF29" i="17"/>
  <c r="EE26" i="17"/>
  <c r="EE11" i="17"/>
  <c r="EG6" i="17"/>
  <c r="EG8" i="17" s="1"/>
  <c r="EF20" i="17"/>
  <c r="EF22" i="17" s="1"/>
  <c r="EF5" i="17"/>
  <c r="EE29" i="17"/>
  <c r="EE14" i="17"/>
  <c r="EF7" i="17"/>
  <c r="EH6" i="17"/>
  <c r="EG5" i="17"/>
  <c r="EG20" i="17"/>
  <c r="EG13" i="17"/>
  <c r="EG30" i="17" s="1"/>
  <c r="EF27" i="17"/>
  <c r="EF13" i="17"/>
  <c r="EF30" i="17" s="1"/>
  <c r="EE27" i="17"/>
  <c r="EF9" i="17"/>
  <c r="EG21" i="17"/>
  <c r="EH7" i="17"/>
  <c r="D38" i="21"/>
  <c r="C38" i="21"/>
  <c r="C39" i="21"/>
  <c r="D39" i="21"/>
  <c r="D37" i="21"/>
  <c r="EF6" i="17"/>
  <c r="FB3" i="17"/>
  <c r="EE5" i="17"/>
  <c r="EE20" i="17"/>
  <c r="EU3" i="17"/>
  <c r="EE24" i="17"/>
  <c r="EE30"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EG24" i="17" l="1"/>
  <c r="EG22" i="17"/>
  <c r="FB6" i="17"/>
  <c r="FB13" i="17"/>
  <c r="DZ13" i="17" s="1"/>
  <c r="DZ30" i="17" s="1"/>
  <c r="EF8" i="17"/>
  <c r="EG10" i="17"/>
  <c r="EF24" i="17"/>
  <c r="EI9" i="17"/>
  <c r="EH23" i="17"/>
  <c r="EH8" i="17"/>
  <c r="EF31" i="17"/>
  <c r="FB7" i="17"/>
  <c r="EI10" i="17"/>
  <c r="EH24" i="17"/>
  <c r="EF14" i="17"/>
  <c r="EE31" i="17"/>
  <c r="EZ3" i="17"/>
  <c r="FA3" i="17"/>
  <c r="EG12" i="17"/>
  <c r="EF26" i="17"/>
  <c r="EF28" i="17" s="1"/>
  <c r="EF11" i="17"/>
  <c r="FA4" i="17"/>
  <c r="EZ4" i="17"/>
  <c r="FB20" i="17"/>
  <c r="EU20" i="17"/>
  <c r="EE22" i="17"/>
  <c r="EE28" i="17"/>
  <c r="EU21" i="17"/>
  <c r="FB21" i="17"/>
  <c r="EU5" i="17"/>
  <c r="FB5" i="17"/>
  <c r="EG23" i="17"/>
  <c r="EG25" i="17" s="1"/>
  <c r="EH9" i="17"/>
  <c r="FB8" i="17"/>
  <c r="EF23" i="17"/>
  <c r="EG9" i="17"/>
  <c r="FB30" i="17"/>
  <c r="EH27" i="17"/>
  <c r="EI13" i="17"/>
  <c r="EI30" i="17" s="1"/>
  <c r="EE25" i="17"/>
  <c r="D11" i="19"/>
  <c r="CK18" i="17"/>
  <c r="DS20" i="17"/>
  <c r="DS18" i="17"/>
  <c r="CK19" i="17"/>
  <c r="CL19" i="17"/>
  <c r="CF20" i="17"/>
  <c r="EH25" i="17" l="1"/>
  <c r="FB23" i="17"/>
  <c r="DZ12" i="17"/>
  <c r="DZ29" i="17" s="1"/>
  <c r="DZ31" i="17" s="1"/>
  <c r="DZ7" i="17"/>
  <c r="DZ6" i="17"/>
  <c r="EG29" i="17"/>
  <c r="EG14" i="17"/>
  <c r="FB14" i="17" s="1"/>
  <c r="FB12" i="17"/>
  <c r="EH26" i="17"/>
  <c r="EH28" i="17" s="1"/>
  <c r="EI12" i="17"/>
  <c r="EH11" i="17"/>
  <c r="EZ5" i="17"/>
  <c r="FA5" i="17"/>
  <c r="EI11" i="17"/>
  <c r="EJ12" i="17"/>
  <c r="EI26" i="17"/>
  <c r="FA21" i="17"/>
  <c r="EZ21" i="17"/>
  <c r="EJ13" i="17"/>
  <c r="EJ30" i="17" s="1"/>
  <c r="EI27" i="17"/>
  <c r="EF25" i="17"/>
  <c r="FB25" i="17" s="1"/>
  <c r="EG26" i="17"/>
  <c r="FB26" i="17" s="1"/>
  <c r="EH12" i="17"/>
  <c r="EG11" i="17"/>
  <c r="FB11" i="17" s="1"/>
  <c r="FB9" i="17"/>
  <c r="FB22" i="17"/>
  <c r="EU22" i="17"/>
  <c r="FB10" i="17"/>
  <c r="EH13" i="17"/>
  <c r="EH30" i="17" s="1"/>
  <c r="EG27" i="17"/>
  <c r="FA20" i="17"/>
  <c r="EZ20" i="17"/>
  <c r="FB24" i="17"/>
  <c r="CK20" i="17"/>
  <c r="CL20" i="17"/>
  <c r="DZ14" i="17" l="1"/>
  <c r="DZ10" i="17"/>
  <c r="DZ9" i="17"/>
  <c r="EI29" i="17"/>
  <c r="EI31" i="17" s="1"/>
  <c r="EI14" i="17"/>
  <c r="FA22" i="17"/>
  <c r="EZ22" i="17"/>
  <c r="H36" i="21"/>
  <c r="EG28" i="17"/>
  <c r="FB28" i="17" s="1"/>
  <c r="FB27" i="17"/>
  <c r="EI28" i="17"/>
  <c r="FB29" i="17"/>
  <c r="EG31" i="17"/>
  <c r="FB31" i="17" s="1"/>
  <c r="EJ29" i="17"/>
  <c r="EJ31" i="17" s="1"/>
  <c r="EJ14" i="17"/>
  <c r="DZ23" i="17"/>
  <c r="EU6" i="17"/>
  <c r="EA9" i="17"/>
  <c r="DZ8" i="17"/>
  <c r="EU8" i="17" s="1"/>
  <c r="EA10" i="17"/>
  <c r="EU7" i="17"/>
  <c r="DZ24" i="17"/>
  <c r="EU24" i="17" s="1"/>
  <c r="EH29" i="17"/>
  <c r="EH31" i="17" s="1"/>
  <c r="EH14" i="17"/>
  <c r="FA8" i="17" l="1"/>
  <c r="EZ8" i="17"/>
  <c r="EU9" i="17"/>
  <c r="EV9" i="17"/>
  <c r="EA11" i="17"/>
  <c r="EV11" i="17" s="1"/>
  <c r="EA26" i="17"/>
  <c r="EB12" i="17"/>
  <c r="EZ6" i="17"/>
  <c r="FA6" i="17"/>
  <c r="EZ7" i="17"/>
  <c r="FA7" i="17"/>
  <c r="DZ25" i="17"/>
  <c r="EU25" i="17" s="1"/>
  <c r="EU23" i="17"/>
  <c r="FA24" i="17"/>
  <c r="EZ24" i="17"/>
  <c r="EA12" i="17"/>
  <c r="DZ26" i="17"/>
  <c r="DZ11" i="17"/>
  <c r="EV10" i="17"/>
  <c r="EB13" i="17"/>
  <c r="EA27" i="17"/>
  <c r="EV27" i="17" s="1"/>
  <c r="EA13" i="17"/>
  <c r="DZ27" i="17"/>
  <c r="EU10" i="17"/>
  <c r="EU27" i="17" l="1"/>
  <c r="FA27" i="17" s="1"/>
  <c r="EU11" i="17"/>
  <c r="EZ11" i="17" s="1"/>
  <c r="EZ27" i="17"/>
  <c r="FA11" i="17"/>
  <c r="EA30" i="17"/>
  <c r="EU13" i="17"/>
  <c r="EB29" i="17"/>
  <c r="EB14" i="17"/>
  <c r="EW14" i="17" s="1"/>
  <c r="EW12" i="17"/>
  <c r="EV13" i="17"/>
  <c r="EW13" i="17"/>
  <c r="EB30" i="17"/>
  <c r="EW30" i="17" s="1"/>
  <c r="H37" i="21"/>
  <c r="EZ25" i="17"/>
  <c r="FA25" i="17"/>
  <c r="DZ28" i="17"/>
  <c r="EU26" i="17"/>
  <c r="EZ9" i="17"/>
  <c r="FA9" i="17"/>
  <c r="EA28" i="17"/>
  <c r="EV28" i="17" s="1"/>
  <c r="EV26" i="17"/>
  <c r="FA10" i="17"/>
  <c r="EZ10" i="17"/>
  <c r="EA14" i="17"/>
  <c r="EA29" i="17"/>
  <c r="EV12" i="17"/>
  <c r="EU12" i="17"/>
  <c r="EZ23" i="17"/>
  <c r="FA23" i="17"/>
  <c r="EU14" i="17" l="1"/>
  <c r="EV14" i="17"/>
  <c r="EB31" i="17"/>
  <c r="EW31" i="17" s="1"/>
  <c r="EW29" i="17"/>
  <c r="FA13" i="17"/>
  <c r="EZ13" i="17"/>
  <c r="FA26" i="17"/>
  <c r="EZ26" i="17"/>
  <c r="EU30" i="17"/>
  <c r="EV30" i="17"/>
  <c r="EU28" i="17"/>
  <c r="FA12" i="17"/>
  <c r="EZ12" i="17"/>
  <c r="EA31" i="17"/>
  <c r="EV29" i="17"/>
  <c r="EU29" i="17"/>
  <c r="FA28" i="17" l="1"/>
  <c r="H38" i="21"/>
  <c r="EZ28" i="17"/>
  <c r="EZ30" i="17"/>
  <c r="FA30" i="17"/>
  <c r="EZ29" i="17"/>
  <c r="FA29" i="17"/>
  <c r="EU31" i="17"/>
  <c r="EV31" i="17"/>
  <c r="FA14" i="17"/>
  <c r="EZ14" i="17"/>
  <c r="H39" i="21" l="1"/>
  <c r="EZ31" i="17"/>
  <c r="FA31" i="17"/>
</calcChain>
</file>

<file path=xl/sharedStrings.xml><?xml version="1.0" encoding="utf-8"?>
<sst xmlns="http://schemas.openxmlformats.org/spreadsheetml/2006/main" count="1357" uniqueCount="444">
  <si>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</si>
  <si>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</si>
  <si>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</si>
  <si>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</si>
  <si>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</si>
  <si>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</si>
  <si>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</si>
  <si>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</si>
  <si>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</si>
  <si>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</si>
  <si>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</si>
  <si>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</si>
  <si>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</si>
  <si>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</si>
  <si>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</si>
  <si>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</si>
  <si>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</si>
  <si>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</si>
  <si>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</si>
  <si>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</si>
  <si>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</si>
  <si>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</si>
  <si>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</si>
  <si>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</si>
  <si>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</si>
  <si>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</si>
  <si>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</si>
  <si>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</si>
  <si>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</si>
  <si>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</si>
  <si>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</si>
  <si>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</si>
  <si>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</si>
  <si>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</si>
  <si>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</si>
  <si>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</si>
  <si>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</si>
  <si>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</si>
  <si>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</si>
  <si>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</si>
  <si>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</si>
  <si>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</si>
  <si>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</si>
  <si>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</si>
  <si>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</si>
  <si>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</si>
  <si>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</si>
  <si>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</si>
  <si>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</si>
  <si>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</si>
  <si>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</si>
  <si>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</si>
  <si>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</si>
  <si>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</si>
  <si>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</si>
  <si>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</si>
  <si>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</si>
  <si>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</si>
  <si>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</si>
  <si>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</si>
  <si>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</si>
  <si>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</si>
  <si>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</si>
  <si>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</si>
  <si>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</si>
  <si>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</si>
  <si>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</si>
  <si>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</si>
  <si>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</si>
  <si>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</si>
  <si>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</si>
  <si>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</si>
  <si>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</si>
  <si>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</si>
  <si>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</si>
  <si>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</si>
  <si>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</si>
  <si>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</si>
  <si>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</si>
  <si>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</si>
  <si>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</si>
  <si>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</si>
  <si>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</si>
  <si>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</si>
  <si>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</si>
  <si>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</si>
  <si>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</si>
  <si>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</si>
  <si>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</si>
  <si>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</si>
  <si>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</si>
  <si>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</si>
  <si>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</si>
  <si>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</si>
  <si>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</si>
  <si>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</si>
  <si>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</si>
  <si>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</si>
  <si>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</si>
  <si>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</si>
  <si>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</si>
  <si>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</si>
  <si>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</si>
  <si>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</si>
  <si>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</si>
  <si>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</si>
  <si>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</si>
  <si>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</si>
  <si>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</si>
  <si>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</si>
  <si>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</si>
  <si>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</si>
  <si>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</si>
  <si>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</si>
  <si>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</si>
  <si>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</si>
  <si>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</si>
  <si>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</si>
  <si>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</si>
  <si>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</si>
  <si>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</si>
  <si>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</si>
  <si>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</si>
  <si>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</si>
  <si>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</si>
  <si>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</si>
  <si>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</si>
  <si>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</si>
  <si>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</si>
  <si>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</si>
  <si>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</si>
  <si>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</si>
  <si>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</si>
  <si>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</si>
  <si>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</si>
  <si>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</si>
  <si>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</si>
  <si>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</si>
  <si>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</si>
  <si>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</si>
  <si>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</si>
  <si>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</si>
  <si>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</si>
  <si>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</si>
  <si>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</si>
  <si>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</si>
  <si>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</si>
  <si>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</si>
  <si>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</si>
  <si>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</si>
  <si>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</si>
  <si>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</si>
  <si>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</si>
  <si>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</si>
  <si>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</si>
  <si>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</si>
  <si>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</si>
  <si>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</si>
  <si>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</si>
  <si>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</si>
  <si>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</si>
  <si>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</si>
  <si>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</si>
  <si>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</si>
  <si>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</si>
  <si>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</si>
  <si>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</si>
  <si>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</si>
  <si>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</si>
  <si>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</si>
  <si>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</si>
  <si>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</si>
  <si>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</si>
  <si>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</si>
  <si>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</si>
  <si>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</si>
  <si>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</si>
  <si>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</si>
  <si>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</si>
  <si>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</si>
  <si>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</si>
  <si>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</si>
  <si>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</si>
  <si>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</si>
  <si>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</si>
  <si>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</si>
  <si>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</si>
  <si>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</si>
  <si>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</si>
  <si>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</si>
  <si>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</si>
  <si>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</si>
  <si>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</si>
  <si>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</si>
  <si>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</si>
  <si>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</si>
  <si>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</si>
  <si>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</si>
  <si>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</si>
  <si>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</si>
  <si>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</si>
  <si>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</si>
  <si>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</si>
  <si>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</si>
  <si>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</si>
  <si>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</si>
  <si>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</si>
  <si>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</si>
  <si>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</si>
  <si>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</si>
  <si>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</si>
  <si>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</si>
  <si>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</si>
  <si>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</si>
  <si>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</si>
  <si>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</si>
  <si>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</si>
  <si>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</si>
  <si>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</si>
  <si>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</si>
  <si>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</si>
  <si>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</si>
  <si>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</si>
  <si>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</si>
  <si>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</si>
  <si>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</si>
  <si>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</si>
  <si>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</si>
  <si>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</si>
  <si>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</si>
  <si>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</si>
  <si>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</si>
  <si>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</si>
  <si>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</si>
  <si>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</si>
  <si>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</si>
  <si>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</si>
  <si>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</si>
  <si>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</si>
  <si>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</si>
  <si>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</si>
  <si>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</si>
  <si>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</si>
  <si>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</si>
  <si>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</si>
  <si>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</si>
  <si>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</si>
  <si>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</si>
  <si>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</si>
  <si>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</si>
  <si>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</si>
  <si>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</si>
  <si>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</si>
  <si>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</si>
  <si>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</si>
  <si>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</si>
  <si>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</si>
  <si>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</si>
  <si>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</si>
  <si>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</si>
  <si>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</si>
  <si>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</si>
  <si>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</si>
  <si>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</si>
  <si>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</si>
  <si>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</si>
  <si>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</si>
  <si>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</si>
  <si>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</si>
  <si>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</si>
  <si>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</si>
  <si>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</si>
  <si>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</si>
  <si>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</si>
  <si>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</si>
  <si>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</si>
  <si>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</si>
  <si>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</si>
  <si>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</si>
  <si>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</si>
  <si>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</si>
  <si>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</si>
  <si>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</si>
  <si>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</si>
  <si>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</si>
  <si>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</si>
  <si>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</si>
  <si>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</si>
  <si>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</si>
  <si>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</si>
  <si>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</si>
  <si>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</si>
  <si>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</si>
  <si>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</si>
  <si>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</si>
  <si>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</si>
  <si>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</si>
  <si>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</si>
  <si>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</si>
  <si>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</si>
  <si>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</si>
  <si>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</si>
  <si>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</si>
  <si>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</si>
  <si>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</si>
  <si>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</si>
  <si>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</si>
  <si>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</si>
  <si>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</si>
  <si>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</si>
  <si>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</si>
  <si>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</si>
  <si>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</si>
  <si>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</si>
  <si>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</si>
  <si>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</si>
  <si>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</si>
  <si>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</si>
  <si>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</si>
  <si>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</si>
  <si>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</si>
  <si>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</si>
  <si>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</si>
  <si>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</si>
  <si>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</si>
  <si>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</si>
  <si>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</si>
  <si>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</si>
  <si>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</si>
  <si>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</si>
  <si>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</si>
  <si>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</si>
  <si>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</si>
  <si>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</si>
  <si>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</si>
  <si>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</si>
  <si>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</si>
  <si>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</si>
  <si>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</si>
  <si>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</si>
  <si>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</si>
  <si>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</si>
  <si>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</si>
  <si>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</si>
  <si>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</si>
  <si>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</si>
  <si>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</si>
  <si>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</si>
  <si>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</si>
  <si>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</si>
  <si>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</si>
  <si>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</si>
  <si>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</si>
  <si>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</si>
  <si>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</si>
  <si>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</si>
  <si>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</si>
  <si>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</si>
  <si>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</si>
  <si>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</si>
  <si>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</si>
  <si>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</si>
  <si>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</si>
  <si>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</si>
  <si>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</si>
  <si>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</si>
  <si>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</si>
  <si>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</si>
  <si>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</si>
  <si>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</si>
  <si>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</si>
  <si>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</si>
  <si>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</si>
  <si>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</si>
  <si>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</si>
  <si>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</si>
  <si>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</si>
  <si>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</si>
  <si>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</si>
  <si>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</si>
  <si>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</si>
  <si>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</si>
  <si>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</si>
  <si>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</si>
  <si>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</si>
  <si>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</si>
  <si>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</si>
  <si>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</si>
  <si>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</si>
  <si>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</si>
  <si>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</si>
  <si>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</si>
  <si>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</si>
  <si>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</si>
  <si>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</si>
  <si>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</si>
  <si>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</si>
  <si>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</si>
  <si>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</si>
  <si>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</si>
  <si>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</si>
  <si>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</si>
  <si>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</si>
  <si>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</si>
  <si>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</si>
  <si>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</si>
  <si>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</si>
  <si>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</si>
  <si>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</si>
  <si>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</si>
  <si>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</si>
  <si>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</si>
  <si>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</si>
  <si>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</si>
  <si>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</si>
  <si>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</si>
  <si>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</si>
  <si>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</si>
  <si>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</si>
  <si>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</si>
  <si>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</si>
  <si>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</si>
  <si>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</si>
  <si>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</si>
  <si>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</si>
  <si>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</si>
  <si>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</si>
  <si>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</si>
  <si>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45208_1</t>
  </si>
  <si>
    <t>西都市</t>
    <rPh sb="0" eb="3">
      <t>サイトシ</t>
    </rPh>
    <phoneticPr fontId="1"/>
  </si>
  <si>
    <t>45208_3</t>
  </si>
  <si>
    <t>45208_4</t>
  </si>
  <si>
    <t>45208_5</t>
  </si>
  <si>
    <t>45208_6</t>
  </si>
  <si>
    <t>45208_7</t>
  </si>
  <si>
    <t>45208_3</t>
    <phoneticPr fontId="2"/>
  </si>
  <si>
    <t>※将来予測シート①の最後で挙げた問題をもとに考えてみてください。</t>
    <rPh sb="10" eb="12">
      <t>サイゴ</t>
    </rPh>
    <rPh sb="13" eb="14">
      <t>ア</t>
    </rPh>
    <rPh sb="16" eb="18">
      <t>モンダイ</t>
    </rPh>
    <rPh sb="22" eb="23">
      <t>カンガ</t>
    </rPh>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</si>
  <si>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</si>
  <si>
    <t>妻地区</t>
    <rPh sb="1" eb="3">
      <t>チク</t>
    </rPh>
    <phoneticPr fontId="1"/>
  </si>
  <si>
    <t>穂北地区</t>
    <rPh sb="2" eb="4">
      <t>チク</t>
    </rPh>
    <phoneticPr fontId="1"/>
  </si>
  <si>
    <t>三納地区</t>
    <rPh sb="2" eb="4">
      <t>チク</t>
    </rPh>
    <phoneticPr fontId="1"/>
  </si>
  <si>
    <t>都於郡地区</t>
    <rPh sb="3" eb="5">
      <t>チク</t>
    </rPh>
    <phoneticPr fontId="1"/>
  </si>
  <si>
    <t>三財地区</t>
    <rPh sb="2" eb="4">
      <t>チク</t>
    </rPh>
    <phoneticPr fontId="1"/>
  </si>
  <si>
    <t>東米良地区</t>
    <rPh sb="0" eb="1">
      <t>ヒガシ</t>
    </rPh>
    <rPh sb="1" eb="3">
      <t>メラ</t>
    </rPh>
    <rPh sb="3" eb="5">
      <t>チク</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</si>
</sst>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5"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
      <b/>
      <sz val="17"/>
      <color rgb="FFFF0000"/>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3">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0" fontId="7" fillId="5" borderId="0" xfId="0" applyFont="1" applyFill="1" applyAlignment="1">
      <alignment horizontal="center" vertical="center"/>
    </xf>
    <xf numFmtId="177" fontId="10" fillId="5" borderId="0" xfId="0" applyNumberFormat="1" applyFont="1" applyFill="1" applyAlignment="1">
      <alignment horizontal="center" vertical="center"/>
    </xf>
    <xf numFmtId="38" fontId="10" fillId="5" borderId="0" xfId="1" applyFont="1" applyFill="1" applyBorder="1" applyAlignment="1">
      <alignment horizontal="center" vertical="center"/>
    </xf>
    <xf numFmtId="187" fontId="10" fillId="5" borderId="0" xfId="0" applyNumberFormat="1" applyFont="1" applyFill="1" applyAlignment="1">
      <alignment horizontal="center" vertical="center"/>
    </xf>
    <xf numFmtId="0" fontId="10" fillId="5" borderId="0" xfId="0" applyFont="1" applyFill="1" applyAlignment="1">
      <alignment horizontal="center" vertical="center"/>
    </xf>
    <xf numFmtId="0" fontId="23" fillId="5" borderId="0" xfId="0" applyFont="1" applyFill="1" applyAlignment="1">
      <alignment horizontal="center" vertical="center"/>
    </xf>
    <xf numFmtId="0" fontId="7" fillId="5" borderId="0" xfId="0" applyFont="1" applyFill="1" applyAlignment="1">
      <alignment horizontal="left"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38" fontId="10"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0" fontId="23" fillId="5" borderId="0" xfId="0" applyFont="1" applyFill="1" applyAlignment="1">
      <alignment horizontal="center" vertical="center" wrapText="1"/>
    </xf>
    <xf numFmtId="187" fontId="38" fillId="5" borderId="0" xfId="0" applyNumberFormat="1" applyFont="1" applyFill="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78" fontId="10" fillId="5" borderId="0" xfId="2" applyNumberFormat="1" applyFont="1" applyFill="1" applyAlignment="1">
      <alignment horizontal="center" vertical="center"/>
    </xf>
    <xf numFmtId="0" fontId="18" fillId="5" borderId="0" xfId="0" applyFont="1" applyFill="1" applyAlignment="1">
      <alignment horizontal="right" vertical="center"/>
    </xf>
    <xf numFmtId="0" fontId="44" fillId="5" borderId="0" xfId="0" applyFont="1" applyFill="1" applyAlignment="1">
      <alignment horizontal="center" vertical="center"/>
    </xf>
    <xf numFmtId="38" fontId="10" fillId="5" borderId="0" xfId="1" applyFont="1" applyFill="1" applyAlignment="1">
      <alignment horizontal="center" vertical="center"/>
    </xf>
    <xf numFmtId="0" fontId="32" fillId="5" borderId="0" xfId="0" applyFont="1" applyFill="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1" xfId="0" applyFont="1" applyFill="1" applyBorder="1" applyAlignment="1">
      <alignment horizontal="center" vertical="center"/>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267</c:v>
                </c:pt>
                <c:pt idx="1">
                  <c:v>225</c:v>
                </c:pt>
                <c:pt idx="2">
                  <c:v>177</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82400288"/>
        <c:axId val="389291184"/>
      </c:barChart>
      <c:catAx>
        <c:axId val="3824002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291184"/>
        <c:crosses val="autoZero"/>
        <c:auto val="1"/>
        <c:lblAlgn val="ctr"/>
        <c:lblOffset val="100"/>
        <c:noMultiLvlLbl val="0"/>
      </c:catAx>
      <c:valAx>
        <c:axId val="38929118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240028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134</c:v>
                </c:pt>
                <c:pt idx="1">
                  <c:v>123</c:v>
                </c:pt>
                <c:pt idx="2">
                  <c:v>99</c:v>
                </c:pt>
                <c:pt idx="3">
                  <c:v>78</c:v>
                </c:pt>
                <c:pt idx="4">
                  <c:v>68</c:v>
                </c:pt>
                <c:pt idx="5">
                  <c:v>56</c:v>
                </c:pt>
                <c:pt idx="6">
                  <c:v>44</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89614728"/>
        <c:axId val="389617864"/>
      </c:barChart>
      <c:catAx>
        <c:axId val="3896147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617864"/>
        <c:crosses val="autoZero"/>
        <c:auto val="1"/>
        <c:lblAlgn val="ctr"/>
        <c:lblOffset val="100"/>
        <c:noMultiLvlLbl val="0"/>
      </c:catAx>
      <c:valAx>
        <c:axId val="3896178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614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0.33</c:v>
                </c:pt>
                <c:pt idx="1">
                  <c:v>0.37</c:v>
                </c:pt>
                <c:pt idx="2">
                  <c:v>0.42</c:v>
                </c:pt>
                <c:pt idx="3">
                  <c:v>0.45</c:v>
                </c:pt>
                <c:pt idx="4">
                  <c:v>0.48</c:v>
                </c:pt>
                <c:pt idx="5">
                  <c:v>0.49</c:v>
                </c:pt>
                <c:pt idx="6">
                  <c:v>0.51</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389613552"/>
        <c:axId val="389618256"/>
      </c:barChart>
      <c:catAx>
        <c:axId val="3896135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618256"/>
        <c:crosses val="autoZero"/>
        <c:auto val="1"/>
        <c:lblAlgn val="ctr"/>
        <c:lblOffset val="100"/>
        <c:noMultiLvlLbl val="0"/>
      </c:catAx>
      <c:valAx>
        <c:axId val="38961825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61355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0.19</c:v>
                </c:pt>
                <c:pt idx="1">
                  <c:v>0.2</c:v>
                </c:pt>
                <c:pt idx="2">
                  <c:v>0.22</c:v>
                </c:pt>
                <c:pt idx="3">
                  <c:v>0.25</c:v>
                </c:pt>
                <c:pt idx="4">
                  <c:v>0.28999999999999998</c:v>
                </c:pt>
                <c:pt idx="5">
                  <c:v>0.32</c:v>
                </c:pt>
                <c:pt idx="6">
                  <c:v>0.33</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389615120"/>
        <c:axId val="389611984"/>
      </c:barChart>
      <c:catAx>
        <c:axId val="3896151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611984"/>
        <c:crosses val="autoZero"/>
        <c:auto val="1"/>
        <c:lblAlgn val="ctr"/>
        <c:lblOffset val="100"/>
        <c:noMultiLvlLbl val="0"/>
      </c:catAx>
      <c:valAx>
        <c:axId val="3896119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61512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816721763976161"/>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6.5180946886741111E-3"/>
                  <c:y val="-3.2637381854926325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7382-4598-A145-D916240CA1AF}"/>
                </c:ext>
                <c:ext xmlns:c15="http://schemas.microsoft.com/office/drawing/2012/chart" uri="{CE6537A1-D6FC-4f65-9D91-7224C49458BB}"/>
              </c:extLst>
            </c:dLbl>
            <c:dLbl>
              <c:idx val="20"/>
              <c:layout>
                <c:manualLayout>
                  <c:x val="-3.670775911432337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382-4598-A145-D916240CA1A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38</c:v>
                </c:pt>
                <c:pt idx="1">
                  <c:v>54</c:v>
                </c:pt>
                <c:pt idx="2">
                  <c:v>68</c:v>
                </c:pt>
                <c:pt idx="3">
                  <c:v>51</c:v>
                </c:pt>
                <c:pt idx="4">
                  <c:v>35</c:v>
                </c:pt>
                <c:pt idx="5">
                  <c:v>35</c:v>
                </c:pt>
                <c:pt idx="6">
                  <c:v>33</c:v>
                </c:pt>
                <c:pt idx="7">
                  <c:v>41</c:v>
                </c:pt>
                <c:pt idx="8">
                  <c:v>52</c:v>
                </c:pt>
                <c:pt idx="9">
                  <c:v>104</c:v>
                </c:pt>
                <c:pt idx="10">
                  <c:v>85</c:v>
                </c:pt>
                <c:pt idx="11">
                  <c:v>100</c:v>
                </c:pt>
                <c:pt idx="12">
                  <c:v>90</c:v>
                </c:pt>
                <c:pt idx="13">
                  <c:v>123</c:v>
                </c:pt>
                <c:pt idx="14">
                  <c:v>140</c:v>
                </c:pt>
                <c:pt idx="15">
                  <c:v>158</c:v>
                </c:pt>
                <c:pt idx="16">
                  <c:v>127</c:v>
                </c:pt>
                <c:pt idx="17">
                  <c:v>52</c:v>
                </c:pt>
                <c:pt idx="18">
                  <c:v>21</c:v>
                </c:pt>
                <c:pt idx="19">
                  <c:v>3</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389616296"/>
        <c:axId val="389611592"/>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33</c:v>
                </c:pt>
                <c:pt idx="1">
                  <c:v>39</c:v>
                </c:pt>
                <c:pt idx="2">
                  <c:v>49</c:v>
                </c:pt>
                <c:pt idx="3">
                  <c:v>54</c:v>
                </c:pt>
                <c:pt idx="4">
                  <c:v>35</c:v>
                </c:pt>
                <c:pt idx="5">
                  <c:v>39</c:v>
                </c:pt>
                <c:pt idx="6">
                  <c:v>35</c:v>
                </c:pt>
                <c:pt idx="7">
                  <c:v>40</c:v>
                </c:pt>
                <c:pt idx="8">
                  <c:v>56</c:v>
                </c:pt>
                <c:pt idx="9">
                  <c:v>77</c:v>
                </c:pt>
                <c:pt idx="10">
                  <c:v>87</c:v>
                </c:pt>
                <c:pt idx="11">
                  <c:v>98</c:v>
                </c:pt>
                <c:pt idx="12">
                  <c:v>107</c:v>
                </c:pt>
                <c:pt idx="13">
                  <c:v>133</c:v>
                </c:pt>
                <c:pt idx="14">
                  <c:v>156</c:v>
                </c:pt>
                <c:pt idx="15">
                  <c:v>173</c:v>
                </c:pt>
                <c:pt idx="16">
                  <c:v>149</c:v>
                </c:pt>
                <c:pt idx="17">
                  <c:v>101</c:v>
                </c:pt>
                <c:pt idx="18">
                  <c:v>52</c:v>
                </c:pt>
                <c:pt idx="19">
                  <c:v>24</c:v>
                </c:pt>
                <c:pt idx="20">
                  <c:v>3</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389615904"/>
        <c:axId val="389612376"/>
      </c:barChart>
      <c:catAx>
        <c:axId val="38961629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611592"/>
        <c:crosses val="autoZero"/>
        <c:auto val="1"/>
        <c:lblAlgn val="ctr"/>
        <c:lblOffset val="100"/>
        <c:noMultiLvlLbl val="0"/>
      </c:catAx>
      <c:valAx>
        <c:axId val="389611592"/>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616296"/>
        <c:crosses val="autoZero"/>
        <c:crossBetween val="between"/>
        <c:majorUnit val="150"/>
      </c:valAx>
      <c:valAx>
        <c:axId val="389612376"/>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615904"/>
        <c:crosses val="max"/>
        <c:crossBetween val="between"/>
        <c:majorUnit val="150"/>
      </c:valAx>
      <c:catAx>
        <c:axId val="389615904"/>
        <c:scaling>
          <c:orientation val="minMax"/>
        </c:scaling>
        <c:delete val="1"/>
        <c:axPos val="l"/>
        <c:numFmt formatCode="General" sourceLinked="1"/>
        <c:majorTickMark val="out"/>
        <c:minorTickMark val="none"/>
        <c:tickLblPos val="nextTo"/>
        <c:crossAx val="38961237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4.35415036296015E-3"/>
                  <c:y val="-3.26609002604256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6C21-4392-BF21-FFD451425388}"/>
                </c:ext>
                <c:ext xmlns:c15="http://schemas.microsoft.com/office/drawing/2012/chart" uri="{CE6537A1-D6FC-4f65-9D91-7224C49458BB}"/>
              </c:extLst>
            </c:dLbl>
            <c:dLbl>
              <c:idx val="20"/>
              <c:layout>
                <c:manualLayout>
                  <c:x val="-3.3486620317711206E-2"/>
                  <c:y val="-4.931667353102779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6C21-4392-BF21-FFD45142538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26</c:v>
                </c:pt>
                <c:pt idx="1">
                  <c:v>37</c:v>
                </c:pt>
                <c:pt idx="2">
                  <c:v>43</c:v>
                </c:pt>
                <c:pt idx="3">
                  <c:v>42</c:v>
                </c:pt>
                <c:pt idx="4">
                  <c:v>27</c:v>
                </c:pt>
                <c:pt idx="5">
                  <c:v>21</c:v>
                </c:pt>
                <c:pt idx="6">
                  <c:v>26</c:v>
                </c:pt>
                <c:pt idx="7">
                  <c:v>27</c:v>
                </c:pt>
                <c:pt idx="8">
                  <c:v>31</c:v>
                </c:pt>
                <c:pt idx="9">
                  <c:v>44</c:v>
                </c:pt>
                <c:pt idx="10">
                  <c:v>48</c:v>
                </c:pt>
                <c:pt idx="11">
                  <c:v>96</c:v>
                </c:pt>
                <c:pt idx="12">
                  <c:v>82</c:v>
                </c:pt>
                <c:pt idx="13">
                  <c:v>94</c:v>
                </c:pt>
                <c:pt idx="14">
                  <c:v>82</c:v>
                </c:pt>
                <c:pt idx="15">
                  <c:v>97</c:v>
                </c:pt>
                <c:pt idx="16">
                  <c:v>91</c:v>
                </c:pt>
                <c:pt idx="17">
                  <c:v>65</c:v>
                </c:pt>
                <c:pt idx="18">
                  <c:v>27</c:v>
                </c:pt>
                <c:pt idx="19">
                  <c:v>3</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389613160"/>
        <c:axId val="389616688"/>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23</c:v>
                </c:pt>
                <c:pt idx="1">
                  <c:v>26</c:v>
                </c:pt>
                <c:pt idx="2">
                  <c:v>31</c:v>
                </c:pt>
                <c:pt idx="3">
                  <c:v>32</c:v>
                </c:pt>
                <c:pt idx="4">
                  <c:v>22</c:v>
                </c:pt>
                <c:pt idx="5">
                  <c:v>25</c:v>
                </c:pt>
                <c:pt idx="6">
                  <c:v>25</c:v>
                </c:pt>
                <c:pt idx="7">
                  <c:v>31</c:v>
                </c:pt>
                <c:pt idx="8">
                  <c:v>34</c:v>
                </c:pt>
                <c:pt idx="9">
                  <c:v>39</c:v>
                </c:pt>
                <c:pt idx="10">
                  <c:v>52</c:v>
                </c:pt>
                <c:pt idx="11">
                  <c:v>71</c:v>
                </c:pt>
                <c:pt idx="12">
                  <c:v>83</c:v>
                </c:pt>
                <c:pt idx="13">
                  <c:v>97</c:v>
                </c:pt>
                <c:pt idx="14">
                  <c:v>102</c:v>
                </c:pt>
                <c:pt idx="15">
                  <c:v>117</c:v>
                </c:pt>
                <c:pt idx="16">
                  <c:v>114</c:v>
                </c:pt>
                <c:pt idx="17">
                  <c:v>106</c:v>
                </c:pt>
                <c:pt idx="18">
                  <c:v>63</c:v>
                </c:pt>
                <c:pt idx="19">
                  <c:v>19</c:v>
                </c:pt>
                <c:pt idx="20">
                  <c:v>2</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389617080"/>
        <c:axId val="389613944"/>
      </c:barChart>
      <c:catAx>
        <c:axId val="38961316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616688"/>
        <c:crosses val="autoZero"/>
        <c:auto val="1"/>
        <c:lblAlgn val="ctr"/>
        <c:lblOffset val="100"/>
        <c:noMultiLvlLbl val="0"/>
      </c:catAx>
      <c:valAx>
        <c:axId val="389616688"/>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613160"/>
        <c:crosses val="autoZero"/>
        <c:crossBetween val="between"/>
        <c:majorUnit val="150"/>
      </c:valAx>
      <c:valAx>
        <c:axId val="389613944"/>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617080"/>
        <c:crosses val="max"/>
        <c:crossBetween val="between"/>
        <c:majorUnit val="150"/>
      </c:valAx>
      <c:catAx>
        <c:axId val="389617080"/>
        <c:scaling>
          <c:orientation val="minMax"/>
        </c:scaling>
        <c:delete val="1"/>
        <c:axPos val="l"/>
        <c:numFmt formatCode="General" sourceLinked="1"/>
        <c:majorTickMark val="out"/>
        <c:minorTickMark val="none"/>
        <c:tickLblPos val="nextTo"/>
        <c:crossAx val="38961394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4867</c:v>
                </c:pt>
                <c:pt idx="1">
                  <c:v>4408</c:v>
                </c:pt>
                <c:pt idx="2">
                  <c:v>3882</c:v>
                </c:pt>
                <c:pt idx="3">
                  <c:v>3399</c:v>
                </c:pt>
                <c:pt idx="4">
                  <c:v>2950</c:v>
                </c:pt>
                <c:pt idx="5">
                  <c:v>2522</c:v>
                </c:pt>
                <c:pt idx="6">
                  <c:v>2123</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37B5-4A69-9FA1-B5C366A42B27}"/>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37B5-4A69-9FA1-B5C366A42B27}"/>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37B5-4A69-9FA1-B5C366A42B27}"/>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37B5-4A69-9FA1-B5C366A42B2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3408</c:v>
                </c:pt>
                <c:pt idx="4" formatCode="#,##0_);[Red]\(#,##0\)">
                  <c:v>2969</c:v>
                </c:pt>
                <c:pt idx="5" formatCode="#,##0_);[Red]\(#,##0\)">
                  <c:v>2550</c:v>
                </c:pt>
                <c:pt idx="6" formatCode="#,##0_);[Red]\(#,##0\)">
                  <c:v>2162</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53299368"/>
        <c:axId val="453293880"/>
      </c:barChart>
      <c:catAx>
        <c:axId val="4532993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293880"/>
        <c:crosses val="autoZero"/>
        <c:auto val="1"/>
        <c:lblAlgn val="ctr"/>
        <c:lblOffset val="100"/>
        <c:noMultiLvlLbl val="0"/>
      </c:catAx>
      <c:valAx>
        <c:axId val="45329388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299368"/>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267</c:v>
                </c:pt>
                <c:pt idx="1">
                  <c:v>225</c:v>
                </c:pt>
                <c:pt idx="2">
                  <c:v>177</c:v>
                </c:pt>
                <c:pt idx="3">
                  <c:v>149</c:v>
                </c:pt>
                <c:pt idx="4">
                  <c:v>126</c:v>
                </c:pt>
                <c:pt idx="5">
                  <c:v>100</c:v>
                </c:pt>
                <c:pt idx="6">
                  <c:v>82</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150</c:v>
                </c:pt>
                <c:pt idx="4">
                  <c:v>128</c:v>
                </c:pt>
                <c:pt idx="5">
                  <c:v>104</c:v>
                </c:pt>
                <c:pt idx="6">
                  <c:v>88</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53295840"/>
        <c:axId val="453298976"/>
      </c:barChart>
      <c:catAx>
        <c:axId val="4532958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298976"/>
        <c:crosses val="autoZero"/>
        <c:auto val="1"/>
        <c:lblAlgn val="ctr"/>
        <c:lblOffset val="100"/>
        <c:noMultiLvlLbl val="0"/>
      </c:catAx>
      <c:valAx>
        <c:axId val="45329897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295840"/>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0.33</c:v>
                </c:pt>
                <c:pt idx="1">
                  <c:v>0.37</c:v>
                </c:pt>
                <c:pt idx="2">
                  <c:v>0.42</c:v>
                </c:pt>
                <c:pt idx="3">
                  <c:v>0.45</c:v>
                </c:pt>
                <c:pt idx="4">
                  <c:v>0.48</c:v>
                </c:pt>
                <c:pt idx="5">
                  <c:v>0.49</c:v>
                </c:pt>
                <c:pt idx="6">
                  <c:v>0.51</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5E41-4348-A9DC-DA42E7D9B3E0}"/>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5E41-4348-A9DC-DA42E7D9B3E0}"/>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5E41-4348-A9DC-DA42E7D9B3E0}"/>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5E41-4348-A9DC-DA42E7D9B3E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0.45</c:v>
                </c:pt>
                <c:pt idx="4" formatCode="0%">
                  <c:v>0.48</c:v>
                </c:pt>
                <c:pt idx="5" formatCode="0%">
                  <c:v>0.49</c:v>
                </c:pt>
                <c:pt idx="6" formatCode="0%">
                  <c:v>0.5</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53294664"/>
        <c:axId val="453300152"/>
      </c:barChart>
      <c:catAx>
        <c:axId val="4532946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300152"/>
        <c:crosses val="autoZero"/>
        <c:auto val="1"/>
        <c:lblAlgn val="ctr"/>
        <c:lblOffset val="100"/>
        <c:noMultiLvlLbl val="0"/>
      </c:catAx>
      <c:valAx>
        <c:axId val="4533001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294664"/>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0.19</c:v>
                </c:pt>
                <c:pt idx="1">
                  <c:v>0.2</c:v>
                </c:pt>
                <c:pt idx="2">
                  <c:v>0.22</c:v>
                </c:pt>
                <c:pt idx="3">
                  <c:v>0.25</c:v>
                </c:pt>
                <c:pt idx="4">
                  <c:v>0.28999999999999998</c:v>
                </c:pt>
                <c:pt idx="5">
                  <c:v>0.32</c:v>
                </c:pt>
                <c:pt idx="6">
                  <c:v>0.33</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F8EA-490F-95E7-E1B8E5DD5CA0}"/>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8EA-490F-95E7-E1B8E5DD5CA0}"/>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F8EA-490F-95E7-E1B8E5DD5CA0}"/>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8EA-490F-95E7-E1B8E5DD5CA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0.25</c:v>
                </c:pt>
                <c:pt idx="4" formatCode="0%">
                  <c:v>0.28999999999999998</c:v>
                </c:pt>
                <c:pt idx="5" formatCode="0%">
                  <c:v>0.32</c:v>
                </c:pt>
                <c:pt idx="6" formatCode="0%">
                  <c:v>0.33</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53298192"/>
        <c:axId val="453294272"/>
      </c:barChart>
      <c:catAx>
        <c:axId val="4532981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294272"/>
        <c:crosses val="autoZero"/>
        <c:auto val="1"/>
        <c:lblAlgn val="ctr"/>
        <c:lblOffset val="100"/>
        <c:noMultiLvlLbl val="0"/>
      </c:catAx>
      <c:valAx>
        <c:axId val="45329427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298192"/>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134</c:v>
                </c:pt>
                <c:pt idx="1">
                  <c:v>123</c:v>
                </c:pt>
                <c:pt idx="2">
                  <c:v>99</c:v>
                </c:pt>
                <c:pt idx="3">
                  <c:v>78</c:v>
                </c:pt>
                <c:pt idx="4">
                  <c:v>68</c:v>
                </c:pt>
                <c:pt idx="5">
                  <c:v>56</c:v>
                </c:pt>
                <c:pt idx="6">
                  <c:v>44</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5.485778468380081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79</c:v>
                </c:pt>
                <c:pt idx="4">
                  <c:v>69</c:v>
                </c:pt>
                <c:pt idx="5">
                  <c:v>57</c:v>
                </c:pt>
                <c:pt idx="6">
                  <c:v>47</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53296232"/>
        <c:axId val="453295056"/>
      </c:barChart>
      <c:catAx>
        <c:axId val="4532962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295056"/>
        <c:crosses val="autoZero"/>
        <c:auto val="1"/>
        <c:lblAlgn val="ctr"/>
        <c:lblOffset val="100"/>
        <c:noMultiLvlLbl val="0"/>
      </c:catAx>
      <c:valAx>
        <c:axId val="45329505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296232"/>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134</c:v>
                </c:pt>
                <c:pt idx="1">
                  <c:v>123</c:v>
                </c:pt>
                <c:pt idx="2">
                  <c:v>99</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89293144"/>
        <c:axId val="389293536"/>
      </c:barChart>
      <c:catAx>
        <c:axId val="3892931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293536"/>
        <c:crosses val="autoZero"/>
        <c:auto val="1"/>
        <c:lblAlgn val="ctr"/>
        <c:lblOffset val="100"/>
        <c:noMultiLvlLbl val="0"/>
      </c:catAx>
      <c:valAx>
        <c:axId val="38929353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29314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4.4841418435809305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E6E4-4931-A5E3-0A1E9478E377}"/>
                </c:ext>
                <c:ext xmlns:c15="http://schemas.microsoft.com/office/drawing/2012/chart" uri="{CE6537A1-D6FC-4f65-9D91-7224C49458BB}"/>
              </c:extLst>
            </c:dLbl>
            <c:dLbl>
              <c:idx val="20"/>
              <c:layout>
                <c:manualLayout>
                  <c:x val="-3.6287845925881988E-2"/>
                  <c:y val="-3.22824783579286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E6E4-4931-A5E3-0A1E9478E37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40</c:v>
                </c:pt>
                <c:pt idx="1">
                  <c:v>55</c:v>
                </c:pt>
                <c:pt idx="2">
                  <c:v>69</c:v>
                </c:pt>
                <c:pt idx="3">
                  <c:v>52</c:v>
                </c:pt>
                <c:pt idx="4">
                  <c:v>35</c:v>
                </c:pt>
                <c:pt idx="5">
                  <c:v>37</c:v>
                </c:pt>
                <c:pt idx="6">
                  <c:v>34</c:v>
                </c:pt>
                <c:pt idx="7">
                  <c:v>41</c:v>
                </c:pt>
                <c:pt idx="8">
                  <c:v>52</c:v>
                </c:pt>
                <c:pt idx="9">
                  <c:v>104</c:v>
                </c:pt>
                <c:pt idx="10">
                  <c:v>85</c:v>
                </c:pt>
                <c:pt idx="11">
                  <c:v>100</c:v>
                </c:pt>
                <c:pt idx="12">
                  <c:v>90</c:v>
                </c:pt>
                <c:pt idx="13">
                  <c:v>123</c:v>
                </c:pt>
                <c:pt idx="14">
                  <c:v>140</c:v>
                </c:pt>
                <c:pt idx="15">
                  <c:v>158</c:v>
                </c:pt>
                <c:pt idx="16">
                  <c:v>127</c:v>
                </c:pt>
                <c:pt idx="17">
                  <c:v>52</c:v>
                </c:pt>
                <c:pt idx="18">
                  <c:v>21</c:v>
                </c:pt>
                <c:pt idx="19">
                  <c:v>3</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53296624"/>
        <c:axId val="453299760"/>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35</c:v>
                </c:pt>
                <c:pt idx="1">
                  <c:v>40</c:v>
                </c:pt>
                <c:pt idx="2">
                  <c:v>50</c:v>
                </c:pt>
                <c:pt idx="3">
                  <c:v>55</c:v>
                </c:pt>
                <c:pt idx="4">
                  <c:v>35</c:v>
                </c:pt>
                <c:pt idx="5">
                  <c:v>41</c:v>
                </c:pt>
                <c:pt idx="6">
                  <c:v>37</c:v>
                </c:pt>
                <c:pt idx="7">
                  <c:v>40</c:v>
                </c:pt>
                <c:pt idx="8">
                  <c:v>57</c:v>
                </c:pt>
                <c:pt idx="9">
                  <c:v>78</c:v>
                </c:pt>
                <c:pt idx="10">
                  <c:v>87</c:v>
                </c:pt>
                <c:pt idx="11">
                  <c:v>98</c:v>
                </c:pt>
                <c:pt idx="12">
                  <c:v>107</c:v>
                </c:pt>
                <c:pt idx="13">
                  <c:v>133</c:v>
                </c:pt>
                <c:pt idx="14">
                  <c:v>156</c:v>
                </c:pt>
                <c:pt idx="15">
                  <c:v>173</c:v>
                </c:pt>
                <c:pt idx="16">
                  <c:v>149</c:v>
                </c:pt>
                <c:pt idx="17">
                  <c:v>101</c:v>
                </c:pt>
                <c:pt idx="18">
                  <c:v>52</c:v>
                </c:pt>
                <c:pt idx="19">
                  <c:v>24</c:v>
                </c:pt>
                <c:pt idx="20">
                  <c:v>3</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53297800"/>
        <c:axId val="453297016"/>
      </c:barChart>
      <c:catAx>
        <c:axId val="45329662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299760"/>
        <c:crosses val="autoZero"/>
        <c:auto val="1"/>
        <c:lblAlgn val="ctr"/>
        <c:lblOffset val="100"/>
        <c:noMultiLvlLbl val="0"/>
      </c:catAx>
      <c:valAx>
        <c:axId val="453299760"/>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296624"/>
        <c:crosses val="autoZero"/>
        <c:crossBetween val="between"/>
        <c:majorUnit val="150"/>
      </c:valAx>
      <c:valAx>
        <c:axId val="453297016"/>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297800"/>
        <c:crosses val="max"/>
        <c:crossBetween val="between"/>
        <c:majorUnit val="150"/>
      </c:valAx>
      <c:catAx>
        <c:axId val="453297800"/>
        <c:scaling>
          <c:orientation val="minMax"/>
        </c:scaling>
        <c:delete val="1"/>
        <c:axPos val="l"/>
        <c:numFmt formatCode="General" sourceLinked="1"/>
        <c:majorTickMark val="out"/>
        <c:minorTickMark val="none"/>
        <c:tickLblPos val="nextTo"/>
        <c:crossAx val="45329701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1.7654796817122611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DD64-4826-AAA5-5E97F2F32E44}"/>
                </c:ext>
                <c:ext xmlns:c15="http://schemas.microsoft.com/office/drawing/2012/chart" uri="{CE6537A1-D6FC-4f65-9D91-7224C49458BB}"/>
              </c:extLst>
            </c:dLbl>
            <c:dLbl>
              <c:idx val="20"/>
              <c:layout>
                <c:manualLayout>
                  <c:x val="-3.8530181669624727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DD64-4826-AAA5-5E97F2F32E4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29</c:v>
                </c:pt>
                <c:pt idx="1">
                  <c:v>40</c:v>
                </c:pt>
                <c:pt idx="2">
                  <c:v>46</c:v>
                </c:pt>
                <c:pt idx="3">
                  <c:v>43</c:v>
                </c:pt>
                <c:pt idx="4">
                  <c:v>28</c:v>
                </c:pt>
                <c:pt idx="5">
                  <c:v>24</c:v>
                </c:pt>
                <c:pt idx="6">
                  <c:v>27</c:v>
                </c:pt>
                <c:pt idx="7">
                  <c:v>29</c:v>
                </c:pt>
                <c:pt idx="8">
                  <c:v>33</c:v>
                </c:pt>
                <c:pt idx="9">
                  <c:v>44</c:v>
                </c:pt>
                <c:pt idx="10">
                  <c:v>48</c:v>
                </c:pt>
                <c:pt idx="11">
                  <c:v>96</c:v>
                </c:pt>
                <c:pt idx="12">
                  <c:v>82</c:v>
                </c:pt>
                <c:pt idx="13">
                  <c:v>94</c:v>
                </c:pt>
                <c:pt idx="14">
                  <c:v>82</c:v>
                </c:pt>
                <c:pt idx="15">
                  <c:v>97</c:v>
                </c:pt>
                <c:pt idx="16">
                  <c:v>91</c:v>
                </c:pt>
                <c:pt idx="17">
                  <c:v>65</c:v>
                </c:pt>
                <c:pt idx="18">
                  <c:v>27</c:v>
                </c:pt>
                <c:pt idx="19">
                  <c:v>3</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3582576"/>
        <c:axId val="453584144"/>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25</c:v>
                </c:pt>
                <c:pt idx="1">
                  <c:v>28</c:v>
                </c:pt>
                <c:pt idx="2">
                  <c:v>33</c:v>
                </c:pt>
                <c:pt idx="3">
                  <c:v>34</c:v>
                </c:pt>
                <c:pt idx="4">
                  <c:v>23</c:v>
                </c:pt>
                <c:pt idx="5">
                  <c:v>28</c:v>
                </c:pt>
                <c:pt idx="6">
                  <c:v>26</c:v>
                </c:pt>
                <c:pt idx="7">
                  <c:v>33</c:v>
                </c:pt>
                <c:pt idx="8">
                  <c:v>36</c:v>
                </c:pt>
                <c:pt idx="9">
                  <c:v>40</c:v>
                </c:pt>
                <c:pt idx="10">
                  <c:v>53</c:v>
                </c:pt>
                <c:pt idx="11">
                  <c:v>72</c:v>
                </c:pt>
                <c:pt idx="12">
                  <c:v>83</c:v>
                </c:pt>
                <c:pt idx="13">
                  <c:v>97</c:v>
                </c:pt>
                <c:pt idx="14">
                  <c:v>102</c:v>
                </c:pt>
                <c:pt idx="15">
                  <c:v>117</c:v>
                </c:pt>
                <c:pt idx="16">
                  <c:v>114</c:v>
                </c:pt>
                <c:pt idx="17">
                  <c:v>106</c:v>
                </c:pt>
                <c:pt idx="18">
                  <c:v>63</c:v>
                </c:pt>
                <c:pt idx="19">
                  <c:v>19</c:v>
                </c:pt>
                <c:pt idx="20">
                  <c:v>2</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3582968"/>
        <c:axId val="453583360"/>
      </c:barChart>
      <c:catAx>
        <c:axId val="45358257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584144"/>
        <c:crosses val="autoZero"/>
        <c:auto val="1"/>
        <c:lblAlgn val="ctr"/>
        <c:lblOffset val="100"/>
        <c:noMultiLvlLbl val="0"/>
      </c:catAx>
      <c:valAx>
        <c:axId val="453584144"/>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582576"/>
        <c:crosses val="autoZero"/>
        <c:crossBetween val="between"/>
        <c:majorUnit val="150"/>
      </c:valAx>
      <c:valAx>
        <c:axId val="453583360"/>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582968"/>
        <c:crosses val="max"/>
        <c:crossBetween val="between"/>
        <c:majorUnit val="150"/>
      </c:valAx>
      <c:catAx>
        <c:axId val="453582968"/>
        <c:scaling>
          <c:orientation val="minMax"/>
        </c:scaling>
        <c:delete val="1"/>
        <c:axPos val="l"/>
        <c:numFmt formatCode="General" sourceLinked="1"/>
        <c:majorTickMark val="out"/>
        <c:minorTickMark val="none"/>
        <c:tickLblPos val="nextTo"/>
        <c:crossAx val="45358336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20"/>
              <c:layout>
                <c:manualLayout>
                  <c:x val="-4.0124054179171191E-2"/>
                  <c:y val="-1.60109227271266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909-46A9-A55E-FE6EFD02F24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71</c:v>
                </c:pt>
                <c:pt idx="1">
                  <c:v>93</c:v>
                </c:pt>
                <c:pt idx="2">
                  <c:v>117</c:v>
                </c:pt>
                <c:pt idx="3">
                  <c:v>105</c:v>
                </c:pt>
                <c:pt idx="4">
                  <c:v>70</c:v>
                </c:pt>
                <c:pt idx="5">
                  <c:v>74</c:v>
                </c:pt>
                <c:pt idx="6">
                  <c:v>68</c:v>
                </c:pt>
                <c:pt idx="7">
                  <c:v>81</c:v>
                </c:pt>
                <c:pt idx="8">
                  <c:v>108</c:v>
                </c:pt>
                <c:pt idx="9">
                  <c:v>181</c:v>
                </c:pt>
                <c:pt idx="10">
                  <c:v>172</c:v>
                </c:pt>
                <c:pt idx="11">
                  <c:v>198</c:v>
                </c:pt>
                <c:pt idx="12">
                  <c:v>197</c:v>
                </c:pt>
                <c:pt idx="13">
                  <c:v>256</c:v>
                </c:pt>
                <c:pt idx="14">
                  <c:v>296</c:v>
                </c:pt>
                <c:pt idx="15">
                  <c:v>331</c:v>
                </c:pt>
                <c:pt idx="16">
                  <c:v>276</c:v>
                </c:pt>
                <c:pt idx="17">
                  <c:v>153</c:v>
                </c:pt>
                <c:pt idx="18">
                  <c:v>73</c:v>
                </c:pt>
                <c:pt idx="19">
                  <c:v>27</c:v>
                </c:pt>
                <c:pt idx="20">
                  <c:v>3</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3582184"/>
        <c:axId val="453583752"/>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75</c:v>
                </c:pt>
                <c:pt idx="1">
                  <c:v>95</c:v>
                </c:pt>
                <c:pt idx="2">
                  <c:v>119</c:v>
                </c:pt>
                <c:pt idx="3">
                  <c:v>107</c:v>
                </c:pt>
                <c:pt idx="4">
                  <c:v>70</c:v>
                </c:pt>
                <c:pt idx="5">
                  <c:v>78</c:v>
                </c:pt>
                <c:pt idx="6">
                  <c:v>71</c:v>
                </c:pt>
                <c:pt idx="7">
                  <c:v>81</c:v>
                </c:pt>
                <c:pt idx="8">
                  <c:v>109</c:v>
                </c:pt>
                <c:pt idx="9">
                  <c:v>182</c:v>
                </c:pt>
                <c:pt idx="10">
                  <c:v>172</c:v>
                </c:pt>
                <c:pt idx="11">
                  <c:v>198</c:v>
                </c:pt>
                <c:pt idx="12">
                  <c:v>197</c:v>
                </c:pt>
                <c:pt idx="13">
                  <c:v>256</c:v>
                </c:pt>
                <c:pt idx="14">
                  <c:v>296</c:v>
                </c:pt>
                <c:pt idx="15">
                  <c:v>331</c:v>
                </c:pt>
                <c:pt idx="16">
                  <c:v>276</c:v>
                </c:pt>
                <c:pt idx="17">
                  <c:v>153</c:v>
                </c:pt>
                <c:pt idx="18">
                  <c:v>73</c:v>
                </c:pt>
                <c:pt idx="19">
                  <c:v>27</c:v>
                </c:pt>
                <c:pt idx="20">
                  <c:v>3</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3585320"/>
        <c:axId val="453584536"/>
      </c:barChart>
      <c:catAx>
        <c:axId val="45358218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583752"/>
        <c:crosses val="autoZero"/>
        <c:auto val="1"/>
        <c:lblAlgn val="ctr"/>
        <c:lblOffset val="100"/>
        <c:noMultiLvlLbl val="0"/>
      </c:catAx>
      <c:valAx>
        <c:axId val="453583752"/>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582184"/>
        <c:crosses val="autoZero"/>
        <c:crossBetween val="between"/>
        <c:majorUnit val="250"/>
      </c:valAx>
      <c:valAx>
        <c:axId val="453584536"/>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3585320"/>
        <c:crosses val="max"/>
        <c:crossBetween val="between"/>
        <c:majorUnit val="250"/>
      </c:valAx>
      <c:catAx>
        <c:axId val="453585320"/>
        <c:scaling>
          <c:orientation val="minMax"/>
        </c:scaling>
        <c:delete val="1"/>
        <c:axPos val="l"/>
        <c:numFmt formatCode="General" sourceLinked="1"/>
        <c:majorTickMark val="out"/>
        <c:minorTickMark val="none"/>
        <c:tickLblPos val="nextTo"/>
        <c:crossAx val="453584536"/>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20"/>
              <c:layout>
                <c:manualLayout>
                  <c:x val="-3.7988825701584315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622-48EB-9B65-AD768DF1F2B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49</c:v>
                </c:pt>
                <c:pt idx="1">
                  <c:v>63</c:v>
                </c:pt>
                <c:pt idx="2">
                  <c:v>74</c:v>
                </c:pt>
                <c:pt idx="3">
                  <c:v>74</c:v>
                </c:pt>
                <c:pt idx="4">
                  <c:v>49</c:v>
                </c:pt>
                <c:pt idx="5">
                  <c:v>46</c:v>
                </c:pt>
                <c:pt idx="6">
                  <c:v>51</c:v>
                </c:pt>
                <c:pt idx="7">
                  <c:v>58</c:v>
                </c:pt>
                <c:pt idx="8">
                  <c:v>65</c:v>
                </c:pt>
                <c:pt idx="9">
                  <c:v>83</c:v>
                </c:pt>
                <c:pt idx="10">
                  <c:v>100</c:v>
                </c:pt>
                <c:pt idx="11">
                  <c:v>167</c:v>
                </c:pt>
                <c:pt idx="12">
                  <c:v>165</c:v>
                </c:pt>
                <c:pt idx="13">
                  <c:v>191</c:v>
                </c:pt>
                <c:pt idx="14">
                  <c:v>184</c:v>
                </c:pt>
                <c:pt idx="15">
                  <c:v>214</c:v>
                </c:pt>
                <c:pt idx="16">
                  <c:v>205</c:v>
                </c:pt>
                <c:pt idx="17">
                  <c:v>171</c:v>
                </c:pt>
                <c:pt idx="18">
                  <c:v>90</c:v>
                </c:pt>
                <c:pt idx="19">
                  <c:v>22</c:v>
                </c:pt>
                <c:pt idx="20">
                  <c:v>2</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4051272"/>
        <c:axId val="454046176"/>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54</c:v>
                </c:pt>
                <c:pt idx="1">
                  <c:v>68</c:v>
                </c:pt>
                <c:pt idx="2">
                  <c:v>79</c:v>
                </c:pt>
                <c:pt idx="3">
                  <c:v>77</c:v>
                </c:pt>
                <c:pt idx="4">
                  <c:v>51</c:v>
                </c:pt>
                <c:pt idx="5">
                  <c:v>52</c:v>
                </c:pt>
                <c:pt idx="6">
                  <c:v>53</c:v>
                </c:pt>
                <c:pt idx="7">
                  <c:v>62</c:v>
                </c:pt>
                <c:pt idx="8">
                  <c:v>69</c:v>
                </c:pt>
                <c:pt idx="9">
                  <c:v>84</c:v>
                </c:pt>
                <c:pt idx="10">
                  <c:v>101</c:v>
                </c:pt>
                <c:pt idx="11">
                  <c:v>168</c:v>
                </c:pt>
                <c:pt idx="12">
                  <c:v>165</c:v>
                </c:pt>
                <c:pt idx="13">
                  <c:v>191</c:v>
                </c:pt>
                <c:pt idx="14">
                  <c:v>184</c:v>
                </c:pt>
                <c:pt idx="15">
                  <c:v>214</c:v>
                </c:pt>
                <c:pt idx="16">
                  <c:v>205</c:v>
                </c:pt>
                <c:pt idx="17">
                  <c:v>171</c:v>
                </c:pt>
                <c:pt idx="18">
                  <c:v>90</c:v>
                </c:pt>
                <c:pt idx="19">
                  <c:v>22</c:v>
                </c:pt>
                <c:pt idx="20">
                  <c:v>2</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4052056"/>
        <c:axId val="454051664"/>
      </c:barChart>
      <c:catAx>
        <c:axId val="45405127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046176"/>
        <c:crosses val="autoZero"/>
        <c:auto val="1"/>
        <c:lblAlgn val="ctr"/>
        <c:lblOffset val="100"/>
        <c:noMultiLvlLbl val="0"/>
      </c:catAx>
      <c:valAx>
        <c:axId val="454046176"/>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051272"/>
        <c:crosses val="autoZero"/>
        <c:crossBetween val="between"/>
        <c:majorUnit val="250"/>
      </c:valAx>
      <c:valAx>
        <c:axId val="454051664"/>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052056"/>
        <c:crosses val="max"/>
        <c:crossBetween val="between"/>
        <c:majorUnit val="250"/>
      </c:valAx>
      <c:catAx>
        <c:axId val="454052056"/>
        <c:scaling>
          <c:orientation val="minMax"/>
        </c:scaling>
        <c:delete val="1"/>
        <c:axPos val="l"/>
        <c:numFmt formatCode="General" sourceLinked="1"/>
        <c:majorTickMark val="out"/>
        <c:minorTickMark val="none"/>
        <c:tickLblPos val="nextTo"/>
        <c:crossAx val="454051664"/>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西都市平均</c:v>
                </c:pt>
                <c:pt idx="2">
                  <c:v>穂北地区</c:v>
                </c:pt>
              </c:strCache>
            </c:strRef>
          </c:cat>
          <c:val>
            <c:numRef>
              <c:f>管理者用地域特徴シート!$H$3:$H$5</c:f>
              <c:numCache>
                <c:formatCode>0.0%</c:formatCode>
                <c:ptCount val="3"/>
                <c:pt idx="0">
                  <c:v>0.46108733927332846</c:v>
                </c:pt>
                <c:pt idx="1">
                  <c:v>0.56650204359673029</c:v>
                </c:pt>
                <c:pt idx="2">
                  <c:v>0.66353046594982079</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54052448"/>
        <c:axId val="454046568"/>
      </c:barChart>
      <c:catAx>
        <c:axId val="45405244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046568"/>
        <c:crosses val="autoZero"/>
        <c:auto val="1"/>
        <c:lblAlgn val="ctr"/>
        <c:lblOffset val="100"/>
        <c:noMultiLvlLbl val="0"/>
      </c:catAx>
      <c:valAx>
        <c:axId val="45404656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05244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西都市平均</c:v>
                </c:pt>
                <c:pt idx="2">
                  <c:v>穂北地区</c:v>
                </c:pt>
              </c:strCache>
            </c:strRef>
          </c:cat>
          <c:val>
            <c:numRef>
              <c:f>管理者用地域特徴シート!$J$3:$J$5</c:f>
              <c:numCache>
                <c:formatCode>0.0%</c:formatCode>
                <c:ptCount val="3"/>
                <c:pt idx="0">
                  <c:v>0.15075281438403673</c:v>
                </c:pt>
                <c:pt idx="1">
                  <c:v>0.17915531335149865</c:v>
                </c:pt>
                <c:pt idx="2">
                  <c:v>0.20263696876600101</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54053232"/>
        <c:axId val="454047744"/>
      </c:barChart>
      <c:catAx>
        <c:axId val="45405323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047744"/>
        <c:crosses val="autoZero"/>
        <c:auto val="1"/>
        <c:lblAlgn val="ctr"/>
        <c:lblOffset val="100"/>
        <c:noMultiLvlLbl val="0"/>
      </c:catAx>
      <c:valAx>
        <c:axId val="45404774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05323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西都市平均</c:v>
                </c:pt>
                <c:pt idx="2">
                  <c:v>穂北地区</c:v>
                </c:pt>
              </c:strCache>
            </c:strRef>
          </c:cat>
          <c:val>
            <c:numRef>
              <c:f>管理者用地域特徴シート!$P$3:$P$5</c:f>
              <c:numCache>
                <c:formatCode>0.0%</c:formatCode>
                <c:ptCount val="3"/>
                <c:pt idx="0">
                  <c:v>0.34758352842621743</c:v>
                </c:pt>
                <c:pt idx="1">
                  <c:v>0.27794477455435163</c:v>
                </c:pt>
                <c:pt idx="2">
                  <c:v>0.19646309711015439</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54045784"/>
        <c:axId val="454049704"/>
      </c:barChart>
      <c:catAx>
        <c:axId val="45404578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049704"/>
        <c:crosses val="autoZero"/>
        <c:auto val="1"/>
        <c:lblAlgn val="ctr"/>
        <c:lblOffset val="100"/>
        <c:noMultiLvlLbl val="0"/>
      </c:catAx>
      <c:valAx>
        <c:axId val="45404970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04578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西都市平均</c:v>
                </c:pt>
                <c:pt idx="2">
                  <c:v>穂北地区</c:v>
                </c:pt>
              </c:strCache>
            </c:strRef>
          </c:cat>
          <c:val>
            <c:numRef>
              <c:f>管理者用地域特徴シート!$AO$3:$AO$5</c:f>
              <c:numCache>
                <c:formatCode>0.0%</c:formatCode>
                <c:ptCount val="3"/>
                <c:pt idx="0">
                  <c:v>0.5259093009439566</c:v>
                </c:pt>
                <c:pt idx="1">
                  <c:v>0.54762394569018724</c:v>
                </c:pt>
                <c:pt idx="2">
                  <c:v>0.5644396551724139</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54047352"/>
        <c:axId val="454050880"/>
      </c:barChart>
      <c:catAx>
        <c:axId val="45404735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050880"/>
        <c:crosses val="autoZero"/>
        <c:auto val="1"/>
        <c:lblAlgn val="ctr"/>
        <c:lblOffset val="100"/>
        <c:noMultiLvlLbl val="0"/>
      </c:catAx>
      <c:valAx>
        <c:axId val="45405088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04735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穂北地区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0.28810975609756095</c:v>
                </c:pt>
                <c:pt idx="1">
                  <c:v>3.6795626576955425E-3</c:v>
                </c:pt>
                <c:pt idx="2">
                  <c:v>5.2565180824222036E-4</c:v>
                </c:pt>
                <c:pt idx="3">
                  <c:v>7.6902859545836838E-2</c:v>
                </c:pt>
                <c:pt idx="4">
                  <c:v>0.12757569386038686</c:v>
                </c:pt>
                <c:pt idx="5">
                  <c:v>2.6282590412111018E-3</c:v>
                </c:pt>
                <c:pt idx="6">
                  <c:v>2.5756938603868798E-3</c:v>
                </c:pt>
                <c:pt idx="7">
                  <c:v>2.6545416316232126E-2</c:v>
                </c:pt>
                <c:pt idx="8">
                  <c:v>9.6299411269974752E-2</c:v>
                </c:pt>
                <c:pt idx="9">
                  <c:v>9.9873843566021855E-3</c:v>
                </c:pt>
                <c:pt idx="10">
                  <c:v>3.5218671152228761E-3</c:v>
                </c:pt>
                <c:pt idx="11">
                  <c:v>1.4560555088309503E-2</c:v>
                </c:pt>
                <c:pt idx="12">
                  <c:v>3.3799411269974766E-2</c:v>
                </c:pt>
                <c:pt idx="13">
                  <c:v>2.7386459209419681E-2</c:v>
                </c:pt>
                <c:pt idx="14">
                  <c:v>2.8069806560134566E-2</c:v>
                </c:pt>
                <c:pt idx="15">
                  <c:v>0.11248948696383515</c:v>
                </c:pt>
                <c:pt idx="16">
                  <c:v>3.0224978973927667E-2</c:v>
                </c:pt>
                <c:pt idx="17">
                  <c:v>5.3090832632464252E-2</c:v>
                </c:pt>
                <c:pt idx="18">
                  <c:v>2.402228763666947E-2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西都市平均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0.22171526342054609</c:v>
                </c:pt>
                <c:pt idx="1">
                  <c:v>1.5684037926855349E-3</c:v>
                </c:pt>
                <c:pt idx="2">
                  <c:v>2.8516432594282457E-4</c:v>
                </c:pt>
                <c:pt idx="3">
                  <c:v>8.1984743708562055E-2</c:v>
                </c:pt>
                <c:pt idx="4">
                  <c:v>0.1208383831182719</c:v>
                </c:pt>
                <c:pt idx="5">
                  <c:v>3.2793897483424823E-3</c:v>
                </c:pt>
                <c:pt idx="6">
                  <c:v>5.4181221929136669E-3</c:v>
                </c:pt>
                <c:pt idx="7">
                  <c:v>2.8659014757253867E-2</c:v>
                </c:pt>
                <c:pt idx="8">
                  <c:v>0.114992514436444</c:v>
                </c:pt>
                <c:pt idx="9">
                  <c:v>1.1620446282170101E-2</c:v>
                </c:pt>
                <c:pt idx="10">
                  <c:v>6.1310330077707278E-3</c:v>
                </c:pt>
                <c:pt idx="11">
                  <c:v>1.3402723319312753E-2</c:v>
                </c:pt>
                <c:pt idx="12">
                  <c:v>3.6643615883652954E-2</c:v>
                </c:pt>
                <c:pt idx="13">
                  <c:v>3.2009695587082054E-2</c:v>
                </c:pt>
                <c:pt idx="14">
                  <c:v>3.1011620446282171E-2</c:v>
                </c:pt>
                <c:pt idx="15">
                  <c:v>0.13402723319312754</c:v>
                </c:pt>
                <c:pt idx="16">
                  <c:v>2.5379625008911385E-2</c:v>
                </c:pt>
                <c:pt idx="17">
                  <c:v>5.2541527054965426E-2</c:v>
                </c:pt>
                <c:pt idx="18">
                  <c:v>4.1847864832109505E-2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54048136"/>
        <c:axId val="454048528"/>
      </c:barChart>
      <c:catAx>
        <c:axId val="4540481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048528"/>
        <c:crosses val="autoZero"/>
        <c:auto val="1"/>
        <c:lblAlgn val="ctr"/>
        <c:lblOffset val="100"/>
        <c:noMultiLvlLbl val="0"/>
      </c:catAx>
      <c:valAx>
        <c:axId val="454048528"/>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048136"/>
        <c:crosses val="autoZero"/>
        <c:crossBetween val="between"/>
      </c:valAx>
      <c:spPr>
        <a:noFill/>
        <a:ln>
          <a:noFill/>
        </a:ln>
        <a:effectLst/>
      </c:spPr>
    </c:plotArea>
    <c:legend>
      <c:legendPos val="b"/>
      <c:layout>
        <c:manualLayout>
          <c:xMode val="edge"/>
          <c:yMode val="edge"/>
          <c:x val="0.5702246867028945"/>
          <c:y val="9.3136467443597437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西都市平均</c:v>
                </c:pt>
                <c:pt idx="2">
                  <c:v>穂北地区</c:v>
                </c:pt>
              </c:strCache>
            </c:strRef>
          </c:cat>
          <c:val>
            <c:numRef>
              <c:f>管理者用地域特徴シート!$CK$3:$CK$5</c:f>
              <c:numCache>
                <c:formatCode>0.0%</c:formatCode>
                <c:ptCount val="3"/>
                <c:pt idx="0">
                  <c:v>0.82747216160708559</c:v>
                </c:pt>
                <c:pt idx="1">
                  <c:v>0.67861980466243677</c:v>
                </c:pt>
                <c:pt idx="2">
                  <c:v>0.71472876366694704</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54385576"/>
        <c:axId val="454382440"/>
      </c:barChart>
      <c:catAx>
        <c:axId val="45438557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382440"/>
        <c:crosses val="autoZero"/>
        <c:auto val="1"/>
        <c:lblAlgn val="ctr"/>
        <c:lblOffset val="100"/>
        <c:noMultiLvlLbl val="0"/>
      </c:catAx>
      <c:valAx>
        <c:axId val="45438244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38557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0.33</c:v>
                </c:pt>
                <c:pt idx="1">
                  <c:v>0.37</c:v>
                </c:pt>
                <c:pt idx="2">
                  <c:v>0.42</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89290792"/>
        <c:axId val="389293928"/>
      </c:barChart>
      <c:catAx>
        <c:axId val="3892907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293928"/>
        <c:crosses val="autoZero"/>
        <c:auto val="1"/>
        <c:lblAlgn val="ctr"/>
        <c:lblOffset val="100"/>
        <c:noMultiLvlLbl val="0"/>
      </c:catAx>
      <c:valAx>
        <c:axId val="38929392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29079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0.19</c:v>
                </c:pt>
                <c:pt idx="1">
                  <c:v>0.2</c:v>
                </c:pt>
                <c:pt idx="2">
                  <c:v>0.22</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88829072"/>
        <c:axId val="388832992"/>
      </c:barChart>
      <c:catAx>
        <c:axId val="3888290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832992"/>
        <c:crosses val="autoZero"/>
        <c:auto val="1"/>
        <c:lblAlgn val="ctr"/>
        <c:lblOffset val="100"/>
        <c:noMultiLvlLbl val="0"/>
      </c:catAx>
      <c:valAx>
        <c:axId val="38883299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82907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2.0612551687547204E-3"/>
                  <c:y val="-5.222733117926435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5D0E-4971-B096-CCDFAC797076}"/>
                </c:ext>
                <c:ext xmlns:c15="http://schemas.microsoft.com/office/drawing/2012/chart" uri="{CE6537A1-D6FC-4f65-9D91-7224C49458BB}"/>
              </c:extLst>
            </c:dLbl>
            <c:dLbl>
              <c:idx val="20"/>
              <c:layout>
                <c:manualLayout>
                  <c:x val="-3.9053354285533491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D0E-4971-B096-CCDFAC79707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78</c:v>
                </c:pt>
                <c:pt idx="1">
                  <c:v>118</c:v>
                </c:pt>
                <c:pt idx="2">
                  <c:v>112</c:v>
                </c:pt>
                <c:pt idx="3">
                  <c:v>119</c:v>
                </c:pt>
                <c:pt idx="4">
                  <c:v>71</c:v>
                </c:pt>
                <c:pt idx="5">
                  <c:v>121</c:v>
                </c:pt>
                <c:pt idx="6">
                  <c:v>93</c:v>
                </c:pt>
                <c:pt idx="7">
                  <c:v>105</c:v>
                </c:pt>
                <c:pt idx="8">
                  <c:v>108</c:v>
                </c:pt>
                <c:pt idx="9">
                  <c:v>132</c:v>
                </c:pt>
                <c:pt idx="10">
                  <c:v>161</c:v>
                </c:pt>
                <c:pt idx="11">
                  <c:v>214</c:v>
                </c:pt>
                <c:pt idx="12">
                  <c:v>212</c:v>
                </c:pt>
                <c:pt idx="13">
                  <c:v>159</c:v>
                </c:pt>
                <c:pt idx="14">
                  <c:v>161</c:v>
                </c:pt>
                <c:pt idx="15">
                  <c:v>150</c:v>
                </c:pt>
                <c:pt idx="16">
                  <c:v>102</c:v>
                </c:pt>
                <c:pt idx="17">
                  <c:v>49</c:v>
                </c:pt>
                <c:pt idx="18">
                  <c:v>21</c:v>
                </c:pt>
                <c:pt idx="19">
                  <c:v>1</c:v>
                </c:pt>
                <c:pt idx="20">
                  <c:v>1</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88830640"/>
        <c:axId val="388827504"/>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82</c:v>
                </c:pt>
                <c:pt idx="1">
                  <c:v>101</c:v>
                </c:pt>
                <c:pt idx="2">
                  <c:v>114</c:v>
                </c:pt>
                <c:pt idx="3">
                  <c:v>102</c:v>
                </c:pt>
                <c:pt idx="4">
                  <c:v>90</c:v>
                </c:pt>
                <c:pt idx="5">
                  <c:v>87</c:v>
                </c:pt>
                <c:pt idx="6">
                  <c:v>98</c:v>
                </c:pt>
                <c:pt idx="7">
                  <c:v>106</c:v>
                </c:pt>
                <c:pt idx="8">
                  <c:v>122</c:v>
                </c:pt>
                <c:pt idx="9">
                  <c:v>147</c:v>
                </c:pt>
                <c:pt idx="10">
                  <c:v>174</c:v>
                </c:pt>
                <c:pt idx="11">
                  <c:v>196</c:v>
                </c:pt>
                <c:pt idx="12">
                  <c:v>221</c:v>
                </c:pt>
                <c:pt idx="13">
                  <c:v>190</c:v>
                </c:pt>
                <c:pt idx="14">
                  <c:v>171</c:v>
                </c:pt>
                <c:pt idx="15">
                  <c:v>192</c:v>
                </c:pt>
                <c:pt idx="16">
                  <c:v>186</c:v>
                </c:pt>
                <c:pt idx="17">
                  <c:v>126</c:v>
                </c:pt>
                <c:pt idx="18">
                  <c:v>53</c:v>
                </c:pt>
                <c:pt idx="19">
                  <c:v>21</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88833384"/>
        <c:axId val="388833776"/>
      </c:barChart>
      <c:catAx>
        <c:axId val="38883064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827504"/>
        <c:crosses val="autoZero"/>
        <c:auto val="1"/>
        <c:lblAlgn val="ctr"/>
        <c:lblOffset val="100"/>
        <c:noMultiLvlLbl val="0"/>
      </c:catAx>
      <c:valAx>
        <c:axId val="388827504"/>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830640"/>
        <c:crosses val="autoZero"/>
        <c:crossBetween val="between"/>
        <c:majorUnit val="150"/>
      </c:valAx>
      <c:valAx>
        <c:axId val="388833776"/>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833384"/>
        <c:crosses val="max"/>
        <c:crossBetween val="between"/>
        <c:majorUnit val="150"/>
      </c:valAx>
      <c:catAx>
        <c:axId val="388833384"/>
        <c:scaling>
          <c:orientation val="minMax"/>
        </c:scaling>
        <c:delete val="1"/>
        <c:axPos val="l"/>
        <c:numFmt formatCode="General" sourceLinked="1"/>
        <c:majorTickMark val="out"/>
        <c:minorTickMark val="none"/>
        <c:tickLblPos val="nextTo"/>
        <c:crossAx val="38883377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2288</c:v>
                </c:pt>
                <c:pt idx="1">
                  <c:v>2064</c:v>
                </c:pt>
                <c:pt idx="2">
                  <c:v>1834</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2579</c:v>
                </c:pt>
                <c:pt idx="1">
                  <c:v>2344</c:v>
                </c:pt>
                <c:pt idx="2">
                  <c:v>2048</c:v>
                </c:pt>
              </c:numCache>
            </c:numRef>
          </c:val>
          <c:extLst xmlns:c16r2="http://schemas.microsoft.com/office/drawing/2015/06/chart">
            <c:ext xmlns:c16="http://schemas.microsoft.com/office/drawing/2014/chart" uri="{C3380CC4-5D6E-409C-BE32-E72D297353CC}">
              <c16:uniqueId val="{00000000-55EB-4686-A27D-61D1E0C922FA}"/>
            </c:ext>
          </c:extLst>
        </c:ser>
        <c:dLbls>
          <c:showLegendKey val="0"/>
          <c:showVal val="0"/>
          <c:showCatName val="0"/>
          <c:showSerName val="0"/>
          <c:showPercent val="0"/>
          <c:showBubbleSize val="0"/>
        </c:dLbls>
        <c:gapWidth val="219"/>
        <c:overlap val="100"/>
        <c:axId val="388831032"/>
        <c:axId val="388831816"/>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8.2404589743101206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5EB-4686-A27D-61D1E0C922FA}"/>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4867</c:v>
                </c:pt>
                <c:pt idx="1">
                  <c:v>4408</c:v>
                </c:pt>
                <c:pt idx="2">
                  <c:v>3882</c:v>
                </c:pt>
              </c:numCache>
            </c:numRef>
          </c:val>
          <c:smooth val="0"/>
          <c:extLst xmlns:c16r2="http://schemas.microsoft.com/office/drawing/2015/06/chart">
            <c:ext xmlns:c16="http://schemas.microsoft.com/office/drawing/2014/chart" uri="{C3380CC4-5D6E-409C-BE32-E72D297353CC}">
              <c16:uniqueId val="{00000002-55EB-4686-A27D-61D1E0C922FA}"/>
            </c:ext>
          </c:extLst>
        </c:ser>
        <c:dLbls>
          <c:showLegendKey val="0"/>
          <c:showVal val="0"/>
          <c:showCatName val="0"/>
          <c:showSerName val="0"/>
          <c:showPercent val="0"/>
          <c:showBubbleSize val="0"/>
        </c:dLbls>
        <c:marker val="1"/>
        <c:smooth val="0"/>
        <c:axId val="388831032"/>
        <c:axId val="388831816"/>
      </c:lineChart>
      <c:catAx>
        <c:axId val="3888310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831816"/>
        <c:crosses val="autoZero"/>
        <c:auto val="1"/>
        <c:lblAlgn val="ctr"/>
        <c:lblOffset val="100"/>
        <c:noMultiLvlLbl val="0"/>
      </c:catAx>
      <c:valAx>
        <c:axId val="38883181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831032"/>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1.6587153382402557E-7"/>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72E7-4F36-9722-7F4F88099D1A}"/>
                </c:ext>
                <c:ext xmlns:c15="http://schemas.microsoft.com/office/drawing/2012/chart" uri="{CE6537A1-D6FC-4f65-9D91-7224C49458BB}"/>
              </c:extLst>
            </c:dLbl>
            <c:dLbl>
              <c:idx val="20"/>
              <c:layout>
                <c:manualLayout>
                  <c:x val="9.7150957360731774E-4"/>
                  <c:y val="-3.758982896183848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2E7-4F36-9722-7F4F88099D1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60</c:v>
                </c:pt>
                <c:pt idx="1">
                  <c:v>66</c:v>
                </c:pt>
                <c:pt idx="2">
                  <c:v>88</c:v>
                </c:pt>
                <c:pt idx="3">
                  <c:v>82</c:v>
                </c:pt>
                <c:pt idx="4">
                  <c:v>45</c:v>
                </c:pt>
                <c:pt idx="5">
                  <c:v>51</c:v>
                </c:pt>
                <c:pt idx="6">
                  <c:v>53</c:v>
                </c:pt>
                <c:pt idx="7">
                  <c:v>98</c:v>
                </c:pt>
                <c:pt idx="8">
                  <c:v>93</c:v>
                </c:pt>
                <c:pt idx="9">
                  <c:v>108</c:v>
                </c:pt>
                <c:pt idx="10">
                  <c:v>94</c:v>
                </c:pt>
                <c:pt idx="11">
                  <c:v>130</c:v>
                </c:pt>
                <c:pt idx="12">
                  <c:v>155</c:v>
                </c:pt>
                <c:pt idx="13">
                  <c:v>200</c:v>
                </c:pt>
                <c:pt idx="14">
                  <c:v>195</c:v>
                </c:pt>
                <c:pt idx="15">
                  <c:v>126</c:v>
                </c:pt>
                <c:pt idx="16">
                  <c:v>101</c:v>
                </c:pt>
                <c:pt idx="17">
                  <c:v>57</c:v>
                </c:pt>
                <c:pt idx="18">
                  <c:v>29</c:v>
                </c:pt>
                <c:pt idx="19">
                  <c:v>2</c:v>
                </c:pt>
                <c:pt idx="20">
                  <c:v>1</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88829464"/>
        <c:axId val="388832600"/>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52</c:v>
                </c:pt>
                <c:pt idx="1">
                  <c:v>65</c:v>
                </c:pt>
                <c:pt idx="2">
                  <c:v>76</c:v>
                </c:pt>
                <c:pt idx="3">
                  <c:v>84</c:v>
                </c:pt>
                <c:pt idx="4">
                  <c:v>49</c:v>
                </c:pt>
                <c:pt idx="5">
                  <c:v>50</c:v>
                </c:pt>
                <c:pt idx="6">
                  <c:v>58</c:v>
                </c:pt>
                <c:pt idx="7">
                  <c:v>79</c:v>
                </c:pt>
                <c:pt idx="8">
                  <c:v>94</c:v>
                </c:pt>
                <c:pt idx="9">
                  <c:v>107</c:v>
                </c:pt>
                <c:pt idx="10">
                  <c:v>112</c:v>
                </c:pt>
                <c:pt idx="11">
                  <c:v>134</c:v>
                </c:pt>
                <c:pt idx="12">
                  <c:v>165</c:v>
                </c:pt>
                <c:pt idx="13">
                  <c:v>196</c:v>
                </c:pt>
                <c:pt idx="14">
                  <c:v>205</c:v>
                </c:pt>
                <c:pt idx="15">
                  <c:v>166</c:v>
                </c:pt>
                <c:pt idx="16">
                  <c:v>122</c:v>
                </c:pt>
                <c:pt idx="17">
                  <c:v>124</c:v>
                </c:pt>
                <c:pt idx="18">
                  <c:v>81</c:v>
                </c:pt>
                <c:pt idx="19">
                  <c:v>27</c:v>
                </c:pt>
                <c:pt idx="20">
                  <c:v>2</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88827896"/>
        <c:axId val="388831424"/>
      </c:barChart>
      <c:catAx>
        <c:axId val="38882946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832600"/>
        <c:crosses val="autoZero"/>
        <c:auto val="1"/>
        <c:lblAlgn val="ctr"/>
        <c:lblOffset val="100"/>
        <c:noMultiLvlLbl val="0"/>
      </c:catAx>
      <c:valAx>
        <c:axId val="388832600"/>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829464"/>
        <c:crosses val="autoZero"/>
        <c:crossBetween val="between"/>
        <c:majorUnit val="150"/>
      </c:valAx>
      <c:valAx>
        <c:axId val="388831424"/>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827896"/>
        <c:crosses val="max"/>
        <c:crossBetween val="between"/>
        <c:majorUnit val="150"/>
      </c:valAx>
      <c:catAx>
        <c:axId val="388827896"/>
        <c:scaling>
          <c:orientation val="minMax"/>
        </c:scaling>
        <c:delete val="1"/>
        <c:axPos val="l"/>
        <c:numFmt formatCode="General" sourceLinked="1"/>
        <c:majorTickMark val="out"/>
        <c:minorTickMark val="none"/>
        <c:tickLblPos val="nextTo"/>
        <c:crossAx val="38883142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7537-4F3D-9222-0633597CC8D0}"/>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7537-4F3D-9222-0633597CC8D0}"/>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7537-4F3D-9222-0633597CC8D0}"/>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537-4F3D-9222-0633597CC8D0}"/>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7537-4F3D-9222-0633597CC8D0}"/>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2288</c:v>
                </c:pt>
                <c:pt idx="1">
                  <c:v>2064</c:v>
                </c:pt>
                <c:pt idx="2">
                  <c:v>1834</c:v>
                </c:pt>
                <c:pt idx="3">
                  <c:v>1619</c:v>
                </c:pt>
                <c:pt idx="4">
                  <c:v>1410</c:v>
                </c:pt>
                <c:pt idx="5">
                  <c:v>1204</c:v>
                </c:pt>
                <c:pt idx="6">
                  <c:v>1009</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7537-4F3D-9222-0633597CC8D0}"/>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7537-4F3D-9222-0633597CC8D0}"/>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7537-4F3D-9222-0633597CC8D0}"/>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2579</c:v>
                </c:pt>
                <c:pt idx="1">
                  <c:v>2344</c:v>
                </c:pt>
                <c:pt idx="2">
                  <c:v>2048</c:v>
                </c:pt>
                <c:pt idx="3">
                  <c:v>1780</c:v>
                </c:pt>
                <c:pt idx="4">
                  <c:v>1540</c:v>
                </c:pt>
                <c:pt idx="5">
                  <c:v>1318</c:v>
                </c:pt>
                <c:pt idx="6">
                  <c:v>1114</c:v>
                </c:pt>
              </c:numCache>
            </c:numRef>
          </c:val>
          <c:extLst xmlns:c16r2="http://schemas.microsoft.com/office/drawing/2015/06/chart">
            <c:ext xmlns:c16="http://schemas.microsoft.com/office/drawing/2014/chart" uri="{C3380CC4-5D6E-409C-BE32-E72D297353CC}">
              <c16:uniqueId val="{00000010-7537-4F3D-9222-0633597CC8D0}"/>
            </c:ext>
          </c:extLst>
        </c:ser>
        <c:dLbls>
          <c:showLegendKey val="0"/>
          <c:showVal val="0"/>
          <c:showCatName val="0"/>
          <c:showSerName val="0"/>
          <c:showPercent val="0"/>
          <c:showBubbleSize val="0"/>
        </c:dLbls>
        <c:gapWidth val="219"/>
        <c:overlap val="100"/>
        <c:axId val="388834168"/>
        <c:axId val="388832208"/>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4867</c:v>
                </c:pt>
                <c:pt idx="1">
                  <c:v>4408</c:v>
                </c:pt>
                <c:pt idx="2">
                  <c:v>3882</c:v>
                </c:pt>
                <c:pt idx="3">
                  <c:v>3399</c:v>
                </c:pt>
                <c:pt idx="4">
                  <c:v>2950</c:v>
                </c:pt>
                <c:pt idx="5">
                  <c:v>2522</c:v>
                </c:pt>
                <c:pt idx="6">
                  <c:v>2123</c:v>
                </c:pt>
              </c:numCache>
            </c:numRef>
          </c:val>
          <c:smooth val="0"/>
          <c:extLst xmlns:c16r2="http://schemas.microsoft.com/office/drawing/2015/06/chart">
            <c:ext xmlns:c16="http://schemas.microsoft.com/office/drawing/2014/chart" uri="{C3380CC4-5D6E-409C-BE32-E72D297353CC}">
              <c16:uniqueId val="{00000011-7537-4F3D-9222-0633597CC8D0}"/>
            </c:ext>
          </c:extLst>
        </c:ser>
        <c:dLbls>
          <c:showLegendKey val="0"/>
          <c:showVal val="0"/>
          <c:showCatName val="0"/>
          <c:showSerName val="0"/>
          <c:showPercent val="0"/>
          <c:showBubbleSize val="0"/>
        </c:dLbls>
        <c:marker val="1"/>
        <c:smooth val="0"/>
        <c:axId val="388834168"/>
        <c:axId val="388832208"/>
      </c:lineChart>
      <c:catAx>
        <c:axId val="3888341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832208"/>
        <c:crosses val="autoZero"/>
        <c:auto val="1"/>
        <c:lblAlgn val="ctr"/>
        <c:lblOffset val="100"/>
        <c:noMultiLvlLbl val="0"/>
      </c:catAx>
      <c:valAx>
        <c:axId val="38883220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8834168"/>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267</c:v>
                </c:pt>
                <c:pt idx="1">
                  <c:v>225</c:v>
                </c:pt>
                <c:pt idx="2">
                  <c:v>177</c:v>
                </c:pt>
                <c:pt idx="3">
                  <c:v>149</c:v>
                </c:pt>
                <c:pt idx="4">
                  <c:v>126</c:v>
                </c:pt>
                <c:pt idx="5">
                  <c:v>100</c:v>
                </c:pt>
                <c:pt idx="6">
                  <c:v>82</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89291968"/>
        <c:axId val="389292360"/>
      </c:barChart>
      <c:catAx>
        <c:axId val="3892919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292360"/>
        <c:crosses val="autoZero"/>
        <c:auto val="1"/>
        <c:lblAlgn val="ctr"/>
        <c:lblOffset val="100"/>
        <c:noMultiLvlLbl val="0"/>
      </c:catAx>
      <c:valAx>
        <c:axId val="38929236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29196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 xmlns:a16="http://schemas.microsoft.com/office/drawing/2014/main"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 xmlns:a16="http://schemas.microsoft.com/office/drawing/2014/main"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 xmlns:a16="http://schemas.microsoft.com/office/drawing/2014/main"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 xmlns:a16="http://schemas.microsoft.com/office/drawing/2014/main"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 xmlns:a16="http://schemas.microsoft.com/office/drawing/2014/main"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 xmlns:a16="http://schemas.microsoft.com/office/drawing/2014/main"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 xmlns:a16="http://schemas.microsoft.com/office/drawing/2014/main"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 xmlns:a16="http://schemas.microsoft.com/office/drawing/2014/main"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 xmlns:a16="http://schemas.microsoft.com/office/drawing/2014/main"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 xmlns:a16="http://schemas.microsoft.com/office/drawing/2014/main"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 xmlns:a16="http://schemas.microsoft.com/office/drawing/2014/main"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 xmlns:a16="http://schemas.microsoft.com/office/drawing/2014/main"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 xmlns:a16="http://schemas.microsoft.com/office/drawing/2014/main"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 xmlns:a16="http://schemas.microsoft.com/office/drawing/2014/main"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 xmlns:a16="http://schemas.microsoft.com/office/drawing/2014/main"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 xmlns:a16="http://schemas.microsoft.com/office/drawing/2014/main"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 xmlns:a16="http://schemas.microsoft.com/office/drawing/2014/main"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 xmlns:a16="http://schemas.microsoft.com/office/drawing/2014/main"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 xmlns:a16="http://schemas.microsoft.com/office/drawing/2014/main"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 xmlns:a16="http://schemas.microsoft.com/office/drawing/2014/main"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 xmlns:a16="http://schemas.microsoft.com/office/drawing/2014/main"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 xmlns:a16="http://schemas.microsoft.com/office/drawing/2014/main"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 xmlns:a16="http://schemas.microsoft.com/office/drawing/2014/main"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 xmlns:a16="http://schemas.microsoft.com/office/drawing/2014/main"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 xmlns:a16="http://schemas.microsoft.com/office/drawing/2014/main"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 xmlns:a16="http://schemas.microsoft.com/office/drawing/2014/main"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 xmlns:a16="http://schemas.microsoft.com/office/drawing/2014/main"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 xmlns:a16="http://schemas.microsoft.com/office/drawing/2014/main"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 xmlns:a16="http://schemas.microsoft.com/office/drawing/2014/main"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 xmlns:a16="http://schemas.microsoft.com/office/drawing/2014/main"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 xmlns:a16="http://schemas.microsoft.com/office/drawing/2014/main"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 xmlns:a16="http://schemas.microsoft.com/office/drawing/2014/main"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 xmlns:a16="http://schemas.microsoft.com/office/drawing/2014/main"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 xmlns:a16="http://schemas.microsoft.com/office/drawing/2014/main"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 xmlns:a16="http://schemas.microsoft.com/office/drawing/2014/main"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 xmlns:a16="http://schemas.microsoft.com/office/drawing/2014/main"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 xmlns:a16="http://schemas.microsoft.com/office/drawing/2014/main"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 xmlns:a16="http://schemas.microsoft.com/office/drawing/2014/main"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 xmlns:a16="http://schemas.microsoft.com/office/drawing/2014/main"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 xmlns:a16="http://schemas.microsoft.com/office/drawing/2014/main"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 xmlns:a16="http://schemas.microsoft.com/office/drawing/2014/main"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 xmlns:a16="http://schemas.microsoft.com/office/drawing/2014/main"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 xmlns:a16="http://schemas.microsoft.com/office/drawing/2014/main"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 xmlns:a16="http://schemas.microsoft.com/office/drawing/2014/main"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 xmlns:a16="http://schemas.microsoft.com/office/drawing/2014/main"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 xmlns:a16="http://schemas.microsoft.com/office/drawing/2014/main"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 xmlns:a16="http://schemas.microsoft.com/office/drawing/2014/main"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 xmlns:a16="http://schemas.microsoft.com/office/drawing/2014/main"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 xmlns:a16="http://schemas.microsoft.com/office/drawing/2014/main"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 xmlns:a16="http://schemas.microsoft.com/office/drawing/2014/main"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 xmlns:a16="http://schemas.microsoft.com/office/drawing/2014/main"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 xmlns:a16="http://schemas.microsoft.com/office/drawing/2014/main"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 xmlns:a16="http://schemas.microsoft.com/office/drawing/2014/main"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 xmlns:a16="http://schemas.microsoft.com/office/drawing/2014/main"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 xmlns:a16="http://schemas.microsoft.com/office/drawing/2014/main"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 xmlns:a16="http://schemas.microsoft.com/office/drawing/2014/main"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 xmlns:a16="http://schemas.microsoft.com/office/drawing/2014/main"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 xmlns:a16="http://schemas.microsoft.com/office/drawing/2014/main"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 xmlns:a16="http://schemas.microsoft.com/office/drawing/2014/main"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 xmlns:a16="http://schemas.microsoft.com/office/drawing/2014/main"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 xmlns:a16="http://schemas.microsoft.com/office/drawing/2014/main"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 xmlns:a16="http://schemas.microsoft.com/office/drawing/2014/main"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 xmlns:a16="http://schemas.microsoft.com/office/drawing/2014/main"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 xmlns:a16="http://schemas.microsoft.com/office/drawing/2014/main"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 xmlns:a16="http://schemas.microsoft.com/office/drawing/2014/main"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 xmlns:a16="http://schemas.microsoft.com/office/drawing/2014/main"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 xmlns:a16="http://schemas.microsoft.com/office/drawing/2014/main"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 xmlns:a16="http://schemas.microsoft.com/office/drawing/2014/main"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 xmlns:a16="http://schemas.microsoft.com/office/drawing/2014/main"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 xmlns:a16="http://schemas.microsoft.com/office/drawing/2014/main"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 xmlns:a16="http://schemas.microsoft.com/office/drawing/2014/main"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 xmlns:a16="http://schemas.microsoft.com/office/drawing/2014/main"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 xmlns:a16="http://schemas.microsoft.com/office/drawing/2014/main"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 xmlns:a16="http://schemas.microsoft.com/office/drawing/2014/main"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3" t="s">
        <v>322</v>
      </c>
      <c r="B8" s="243"/>
      <c r="C8" s="243"/>
      <c r="D8" s="243"/>
      <c r="E8" s="243"/>
      <c r="F8" s="243"/>
      <c r="G8" s="243"/>
      <c r="H8" s="243"/>
      <c r="I8" s="243"/>
      <c r="J8" s="243"/>
    </row>
    <row r="9" spans="1:10" x14ac:dyDescent="0.15">
      <c r="A9" s="246" t="s">
        <v>357</v>
      </c>
      <c r="B9" s="246"/>
      <c r="C9" s="246"/>
      <c r="D9" s="246"/>
      <c r="E9" s="246"/>
      <c r="F9" s="246"/>
      <c r="G9" s="246"/>
      <c r="H9" s="246"/>
      <c r="I9" s="246"/>
      <c r="J9" s="246"/>
    </row>
    <row r="10" spans="1:10" x14ac:dyDescent="0.15">
      <c r="A10" s="246"/>
      <c r="B10" s="246"/>
      <c r="C10" s="246"/>
      <c r="D10" s="246"/>
      <c r="E10" s="246"/>
      <c r="F10" s="246"/>
      <c r="G10" s="246"/>
      <c r="H10" s="246"/>
      <c r="I10" s="246"/>
      <c r="J10" s="246"/>
    </row>
    <row r="11" spans="1:10" x14ac:dyDescent="0.15">
      <c r="A11" s="246"/>
      <c r="B11" s="246"/>
      <c r="C11" s="246"/>
      <c r="D11" s="246"/>
      <c r="E11" s="246"/>
      <c r="F11" s="246"/>
      <c r="G11" s="246"/>
      <c r="H11" s="246"/>
      <c r="I11" s="246"/>
      <c r="J11" s="246"/>
    </row>
    <row r="12" spans="1:10" x14ac:dyDescent="0.15">
      <c r="A12" s="246"/>
      <c r="B12" s="246"/>
      <c r="C12" s="246"/>
      <c r="D12" s="246"/>
      <c r="E12" s="246"/>
      <c r="F12" s="246"/>
      <c r="G12" s="246"/>
      <c r="H12" s="246"/>
      <c r="I12" s="246"/>
      <c r="J12" s="246"/>
    </row>
    <row r="15" spans="1:10" ht="18.75" customHeight="1" x14ac:dyDescent="0.15">
      <c r="A15" s="244" t="str">
        <f>管理者入力シート!B4</f>
        <v>穂北地区</v>
      </c>
      <c r="B15" s="244"/>
      <c r="C15" s="244"/>
      <c r="D15" s="244"/>
      <c r="E15" s="244"/>
      <c r="F15" s="244"/>
      <c r="G15" s="244"/>
      <c r="H15" s="244"/>
      <c r="I15" s="244"/>
      <c r="J15" s="244"/>
    </row>
    <row r="16" spans="1:10" ht="18.75" customHeight="1" x14ac:dyDescent="0.15">
      <c r="A16" s="244"/>
      <c r="B16" s="244"/>
      <c r="C16" s="244"/>
      <c r="D16" s="244"/>
      <c r="E16" s="244"/>
      <c r="F16" s="244"/>
      <c r="G16" s="244"/>
      <c r="H16" s="244"/>
      <c r="I16" s="244"/>
      <c r="J16" s="244"/>
    </row>
    <row r="19" spans="1:10" ht="18.75" customHeight="1" x14ac:dyDescent="0.15">
      <c r="A19" s="245" t="s">
        <v>358</v>
      </c>
      <c r="B19" s="245"/>
      <c r="C19" s="245"/>
      <c r="D19" s="245"/>
      <c r="E19" s="245"/>
      <c r="F19" s="245"/>
      <c r="G19" s="245"/>
      <c r="H19" s="245"/>
      <c r="I19" s="245"/>
      <c r="J19" s="245"/>
    </row>
    <row r="20" spans="1:10" x14ac:dyDescent="0.15">
      <c r="A20" s="245"/>
      <c r="B20" s="245"/>
      <c r="C20" s="245"/>
      <c r="D20" s="245"/>
      <c r="E20" s="245"/>
      <c r="F20" s="245"/>
      <c r="G20" s="245"/>
      <c r="H20" s="245"/>
      <c r="I20" s="245"/>
      <c r="J20" s="245"/>
    </row>
    <row r="21" spans="1:10" x14ac:dyDescent="0.15">
      <c r="A21" s="245"/>
      <c r="B21" s="245"/>
      <c r="C21" s="245"/>
      <c r="D21" s="245"/>
      <c r="E21" s="245"/>
      <c r="F21" s="245"/>
      <c r="G21" s="245"/>
      <c r="H21" s="245"/>
      <c r="I21" s="245"/>
      <c r="J21" s="245"/>
    </row>
    <row r="22" spans="1:10" x14ac:dyDescent="0.15">
      <c r="A22" s="245"/>
      <c r="B22" s="245"/>
      <c r="C22" s="245"/>
      <c r="D22" s="245"/>
      <c r="E22" s="245"/>
      <c r="F22" s="245"/>
      <c r="G22" s="245"/>
      <c r="H22" s="245"/>
      <c r="I22" s="245"/>
      <c r="J22" s="245"/>
    </row>
    <row r="23" spans="1:10" x14ac:dyDescent="0.15">
      <c r="A23" s="245"/>
      <c r="B23" s="245"/>
      <c r="C23" s="245"/>
      <c r="D23" s="245"/>
      <c r="E23" s="245"/>
      <c r="F23" s="245"/>
      <c r="G23" s="245"/>
      <c r="H23" s="245"/>
      <c r="I23" s="245"/>
      <c r="J23" s="245"/>
    </row>
    <row r="24" spans="1:10" x14ac:dyDescent="0.15">
      <c r="A24" s="245"/>
      <c r="B24" s="245"/>
      <c r="C24" s="245"/>
      <c r="D24" s="245"/>
      <c r="E24" s="245"/>
      <c r="F24" s="245"/>
      <c r="G24" s="245"/>
      <c r="H24" s="245"/>
      <c r="I24" s="245"/>
      <c r="J24" s="245"/>
    </row>
    <row r="25" spans="1:10" x14ac:dyDescent="0.15">
      <c r="A25" s="245"/>
      <c r="B25" s="245"/>
      <c r="C25" s="245"/>
      <c r="D25" s="245"/>
      <c r="E25" s="245"/>
      <c r="F25" s="245"/>
      <c r="G25" s="245"/>
      <c r="H25" s="245"/>
      <c r="I25" s="245"/>
      <c r="J25" s="245"/>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2"/>
  <sheetViews>
    <sheetView zoomScaleNormal="100" workbookViewId="0">
      <pane ySplit="6" topLeftCell="A7" activePane="bottomLeft" state="frozen"/>
      <selection activeCell="B2" sqref="B2"/>
      <selection pane="bottomLeft" activeCell="B1" sqref="B1:B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4" t="s">
        <v>127</v>
      </c>
      <c r="B1" s="325" t="s">
        <v>128</v>
      </c>
      <c r="C1" s="327" t="s">
        <v>129</v>
      </c>
      <c r="D1" s="329" t="s">
        <v>130</v>
      </c>
      <c r="E1" s="329"/>
      <c r="F1" s="329"/>
      <c r="G1" s="329"/>
      <c r="H1" s="329"/>
      <c r="I1" s="329"/>
      <c r="J1" s="329"/>
      <c r="K1" s="297" t="s">
        <v>131</v>
      </c>
      <c r="L1" s="297"/>
      <c r="M1" s="297"/>
      <c r="N1" s="297"/>
      <c r="O1" s="297"/>
      <c r="P1" s="297"/>
      <c r="Q1" s="297"/>
      <c r="R1" s="330" t="s">
        <v>132</v>
      </c>
      <c r="S1" s="331"/>
      <c r="T1" s="331"/>
      <c r="U1" s="331"/>
      <c r="V1" s="331"/>
      <c r="W1" s="331"/>
      <c r="X1" s="331"/>
      <c r="Y1" s="331"/>
      <c r="Z1" s="331"/>
      <c r="AA1" s="331"/>
      <c r="AB1" s="331"/>
      <c r="AC1" s="331"/>
      <c r="AD1" s="331"/>
      <c r="AE1" s="331"/>
      <c r="AF1" s="331"/>
      <c r="AG1" s="331"/>
      <c r="AH1" s="331"/>
      <c r="AI1" s="331"/>
      <c r="AJ1" s="331"/>
      <c r="AK1" s="331"/>
      <c r="AL1" s="331"/>
      <c r="AM1" s="331"/>
      <c r="AN1" s="331"/>
      <c r="AO1" s="332"/>
      <c r="AP1" s="318" t="s">
        <v>133</v>
      </c>
      <c r="AQ1" s="319"/>
      <c r="AR1" s="319"/>
      <c r="AS1" s="319"/>
      <c r="AT1" s="319"/>
      <c r="AU1" s="319"/>
      <c r="AV1" s="319"/>
      <c r="AW1" s="319"/>
      <c r="AX1" s="319"/>
      <c r="AY1" s="319"/>
      <c r="AZ1" s="319"/>
      <c r="BA1" s="319"/>
      <c r="BB1" s="319"/>
      <c r="BC1" s="319"/>
      <c r="BD1" s="319"/>
      <c r="BE1" s="319"/>
      <c r="BF1" s="319"/>
      <c r="BG1" s="319"/>
      <c r="BH1" s="319"/>
      <c r="BI1" s="319"/>
      <c r="BJ1" s="319"/>
      <c r="BK1" s="319"/>
      <c r="BL1" s="319"/>
      <c r="BM1" s="319"/>
      <c r="BN1" s="319"/>
      <c r="BO1" s="319"/>
      <c r="BP1" s="319"/>
      <c r="BQ1" s="319"/>
      <c r="BR1" s="319"/>
      <c r="BS1" s="319"/>
      <c r="BT1" s="319"/>
      <c r="BU1" s="319"/>
      <c r="BV1" s="319"/>
      <c r="BW1" s="319"/>
      <c r="BX1" s="319"/>
      <c r="BY1" s="319"/>
      <c r="BZ1" s="319"/>
      <c r="CA1" s="319"/>
      <c r="CB1" s="320"/>
      <c r="CC1" s="321" t="s">
        <v>134</v>
      </c>
      <c r="CD1" s="322"/>
      <c r="CE1" s="322"/>
      <c r="CF1" s="322"/>
      <c r="CG1" s="322"/>
      <c r="CH1" s="322"/>
      <c r="CI1" s="322"/>
      <c r="CJ1" s="322"/>
      <c r="CK1" s="322"/>
      <c r="CL1" s="322"/>
      <c r="CM1" s="322"/>
      <c r="CN1" s="322"/>
      <c r="CO1" s="322"/>
      <c r="CP1" s="323"/>
    </row>
    <row r="2" spans="1:94" s="80" customFormat="1" ht="60" x14ac:dyDescent="0.15">
      <c r="A2" s="325"/>
      <c r="B2" s="326"/>
      <c r="C2" s="328"/>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西都市平均</v>
      </c>
      <c r="C4" s="88" t="str">
        <f>B4</f>
        <v>西都市平均</v>
      </c>
      <c r="D4" s="185">
        <f>SUM(D7:D70)</f>
        <v>11744</v>
      </c>
      <c r="E4" s="186">
        <f>SUM(E7:E70)</f>
        <v>6653</v>
      </c>
      <c r="F4" s="186">
        <f>SUM(F7:F70)</f>
        <v>2053</v>
      </c>
      <c r="G4" s="187">
        <f>SUM(G7:G70)</f>
        <v>2104</v>
      </c>
      <c r="H4" s="148">
        <f>E4/D4</f>
        <v>0.56650204359673029</v>
      </c>
      <c r="I4" s="149">
        <f>F4/D4</f>
        <v>0.17481267029972752</v>
      </c>
      <c r="J4" s="150">
        <f>G4/D4</f>
        <v>0.17915531335149865</v>
      </c>
      <c r="K4" s="185">
        <f>SUM(K7:K70)</f>
        <v>28610</v>
      </c>
      <c r="L4" s="186">
        <f>SUM(L7:L70)</f>
        <v>4264</v>
      </c>
      <c r="M4" s="186">
        <f>SUM(M7:M70)</f>
        <v>7952</v>
      </c>
      <c r="N4" s="187">
        <f>SUM(N7:N70)</f>
        <v>14559</v>
      </c>
      <c r="O4" s="148">
        <f>L4/K4</f>
        <v>0.14903879762320868</v>
      </c>
      <c r="P4" s="149">
        <f>M4/K4</f>
        <v>0.27794477455435163</v>
      </c>
      <c r="Q4" s="150">
        <f>N4/K4</f>
        <v>0.50887801468018179</v>
      </c>
      <c r="R4" s="185">
        <f>SUM(R7:R70)</f>
        <v>28610</v>
      </c>
      <c r="S4" s="145">
        <f>SUM(S7:S70)</f>
        <v>2719</v>
      </c>
      <c r="T4" s="145">
        <f>SUM(T7:T70)</f>
        <v>1494</v>
      </c>
      <c r="U4" s="144">
        <f>SUM(U7:U70)</f>
        <v>604</v>
      </c>
      <c r="V4" s="144">
        <f>SUM(V7:V70)</f>
        <v>44</v>
      </c>
      <c r="W4" s="146">
        <f>S4+T4+U4+V4</f>
        <v>4861</v>
      </c>
      <c r="X4" s="143">
        <f>SUM(X7:X70)</f>
        <v>13423</v>
      </c>
      <c r="Y4" s="144">
        <f>SUM(Y7:Y70)</f>
        <v>1167</v>
      </c>
      <c r="Z4" s="144">
        <f>SUM(Z7:Z70)</f>
        <v>687</v>
      </c>
      <c r="AA4" s="144">
        <f>SUM(AA7:AA70)</f>
        <v>323</v>
      </c>
      <c r="AB4" s="144">
        <f>SUM(AB7:AB70)</f>
        <v>22</v>
      </c>
      <c r="AC4" s="146">
        <f>Y4+Z4+AA4+AB4</f>
        <v>2199</v>
      </c>
      <c r="AD4" s="143">
        <f>SUM(AD7:AD70)</f>
        <v>15187</v>
      </c>
      <c r="AE4" s="143">
        <f t="shared" ref="AE4:AH4" si="0">SUM(AE7:AE70)</f>
        <v>1552</v>
      </c>
      <c r="AF4" s="143">
        <f t="shared" si="0"/>
        <v>807</v>
      </c>
      <c r="AG4" s="143">
        <f t="shared" si="0"/>
        <v>281</v>
      </c>
      <c r="AH4" s="143">
        <f t="shared" si="0"/>
        <v>22</v>
      </c>
      <c r="AI4" s="146">
        <f>AE4+AF4+AG4+AH4</f>
        <v>2662</v>
      </c>
      <c r="AJ4" s="148">
        <f>W4/R4</f>
        <v>0.16990562740300594</v>
      </c>
      <c r="AK4" s="149">
        <f>T4/W4</f>
        <v>0.30734416786669411</v>
      </c>
      <c r="AL4" s="149">
        <f>U4/W4</f>
        <v>0.12425426866899815</v>
      </c>
      <c r="AM4" s="149">
        <f>V4/W4</f>
        <v>9.0516354659535073E-3</v>
      </c>
      <c r="AN4" s="147">
        <f>AC4/W4</f>
        <v>0.45237605430981281</v>
      </c>
      <c r="AO4" s="150">
        <f>AI4/W4</f>
        <v>0.54762394569018724</v>
      </c>
      <c r="AP4" s="143">
        <f>SUM(AP7:AP70)</f>
        <v>14027</v>
      </c>
      <c r="AQ4" s="144">
        <f t="shared" ref="AQ4:BI4" si="1">SUM(AQ7:AQ70)</f>
        <v>3110</v>
      </c>
      <c r="AR4" s="144">
        <f t="shared" si="1"/>
        <v>22</v>
      </c>
      <c r="AS4" s="144">
        <f t="shared" si="1"/>
        <v>4</v>
      </c>
      <c r="AT4" s="144">
        <f t="shared" si="1"/>
        <v>1150</v>
      </c>
      <c r="AU4" s="144">
        <f t="shared" si="1"/>
        <v>1695</v>
      </c>
      <c r="AV4" s="144">
        <f t="shared" si="1"/>
        <v>46</v>
      </c>
      <c r="AW4" s="144">
        <f t="shared" si="1"/>
        <v>76</v>
      </c>
      <c r="AX4" s="144">
        <f t="shared" si="1"/>
        <v>402</v>
      </c>
      <c r="AY4" s="144">
        <f t="shared" si="1"/>
        <v>1613</v>
      </c>
      <c r="AZ4" s="144">
        <f t="shared" si="1"/>
        <v>163</v>
      </c>
      <c r="BA4" s="144">
        <f t="shared" si="1"/>
        <v>86</v>
      </c>
      <c r="BB4" s="144">
        <f t="shared" si="1"/>
        <v>188</v>
      </c>
      <c r="BC4" s="144">
        <f t="shared" si="1"/>
        <v>514</v>
      </c>
      <c r="BD4" s="144">
        <f t="shared" si="1"/>
        <v>449</v>
      </c>
      <c r="BE4" s="144">
        <f t="shared" si="1"/>
        <v>435</v>
      </c>
      <c r="BF4" s="144">
        <f t="shared" si="1"/>
        <v>1880</v>
      </c>
      <c r="BG4" s="144">
        <f t="shared" si="1"/>
        <v>356</v>
      </c>
      <c r="BH4" s="144">
        <f t="shared" si="1"/>
        <v>737</v>
      </c>
      <c r="BI4" s="146">
        <f t="shared" si="1"/>
        <v>587</v>
      </c>
      <c r="BJ4" s="147">
        <f>IF($AP4=0,0,AQ4/$AP4)</f>
        <v>0.22171526342054609</v>
      </c>
      <c r="BK4" s="149">
        <f t="shared" ref="BK4:CB4" si="2">IF($AP4=0,0,AR4/$AP4)</f>
        <v>1.5684037926855349E-3</v>
      </c>
      <c r="BL4" s="149">
        <f t="shared" si="2"/>
        <v>2.8516432594282457E-4</v>
      </c>
      <c r="BM4" s="149">
        <f t="shared" si="2"/>
        <v>8.1984743708562055E-2</v>
      </c>
      <c r="BN4" s="149">
        <f t="shared" si="2"/>
        <v>0.1208383831182719</v>
      </c>
      <c r="BO4" s="149">
        <f t="shared" si="2"/>
        <v>3.2793897483424823E-3</v>
      </c>
      <c r="BP4" s="149">
        <f t="shared" si="2"/>
        <v>5.4181221929136669E-3</v>
      </c>
      <c r="BQ4" s="149">
        <f t="shared" si="2"/>
        <v>2.8659014757253867E-2</v>
      </c>
      <c r="BR4" s="149">
        <f t="shared" si="2"/>
        <v>0.114992514436444</v>
      </c>
      <c r="BS4" s="149">
        <f t="shared" si="2"/>
        <v>1.1620446282170101E-2</v>
      </c>
      <c r="BT4" s="149">
        <f t="shared" si="2"/>
        <v>6.1310330077707278E-3</v>
      </c>
      <c r="BU4" s="149">
        <f t="shared" si="2"/>
        <v>1.3402723319312753E-2</v>
      </c>
      <c r="BV4" s="149">
        <f t="shared" si="2"/>
        <v>3.6643615883652954E-2</v>
      </c>
      <c r="BW4" s="149">
        <f t="shared" si="2"/>
        <v>3.2009695587082054E-2</v>
      </c>
      <c r="BX4" s="149">
        <f t="shared" si="2"/>
        <v>3.1011620446282171E-2</v>
      </c>
      <c r="BY4" s="149">
        <f t="shared" si="2"/>
        <v>0.13402723319312754</v>
      </c>
      <c r="BZ4" s="149">
        <f t="shared" si="2"/>
        <v>2.5379625008911385E-2</v>
      </c>
      <c r="CA4" s="149">
        <f t="shared" si="2"/>
        <v>5.2541527054965426E-2</v>
      </c>
      <c r="CB4" s="150">
        <f t="shared" si="2"/>
        <v>4.1847864832109505E-2</v>
      </c>
      <c r="CC4" s="143">
        <f>SUM(CC7:CC70)</f>
        <v>14027</v>
      </c>
      <c r="CD4" s="144">
        <f t="shared" ref="CD4:CI4" si="3">SUM(CD7:CD70)</f>
        <v>9519</v>
      </c>
      <c r="CE4" s="144">
        <f t="shared" si="3"/>
        <v>4166</v>
      </c>
      <c r="CF4" s="144">
        <f t="shared" si="3"/>
        <v>35</v>
      </c>
      <c r="CG4" s="143">
        <f t="shared" si="3"/>
        <v>1143</v>
      </c>
      <c r="CH4" s="144">
        <f t="shared" si="3"/>
        <v>645</v>
      </c>
      <c r="CI4" s="144">
        <f t="shared" si="3"/>
        <v>438</v>
      </c>
      <c r="CJ4" s="144">
        <f>SUM(CJ7:CJ70)</f>
        <v>14</v>
      </c>
      <c r="CK4" s="148">
        <f t="shared" ref="CK4:CM4" si="4">IF($CC4=0,0,CD4/$CC4)</f>
        <v>0.67861980466243677</v>
      </c>
      <c r="CL4" s="149">
        <f t="shared" si="4"/>
        <v>0.29699864546945176</v>
      </c>
      <c r="CM4" s="150">
        <f t="shared" si="4"/>
        <v>2.495187851999715E-3</v>
      </c>
      <c r="CN4" s="148">
        <f t="shared" ref="CN4:CP4" si="5">IF($CG4=0,0,CH4/$CG4)</f>
        <v>0.56430446194225725</v>
      </c>
      <c r="CO4" s="149">
        <f t="shared" si="5"/>
        <v>0.38320209973753283</v>
      </c>
      <c r="CP4" s="150">
        <f t="shared" si="5"/>
        <v>1.2248468941382326E-2</v>
      </c>
    </row>
    <row r="5" spans="1:94" s="181" customFormat="1" x14ac:dyDescent="0.15">
      <c r="A5" s="183" t="str">
        <f>管理者入力シート!B2</f>
        <v>45208_3</v>
      </c>
      <c r="B5" s="201" t="str">
        <f>VLOOKUP($A$5,$A$7:$CP$50,2,FALSE)</f>
        <v>西都市</v>
      </c>
      <c r="C5" s="201" t="str">
        <f>VLOOKUP($A$5,$A$7:$CP$50,3,FALSE)</f>
        <v>穂北地区</v>
      </c>
      <c r="D5" s="188">
        <f>VLOOKUP($A$5,$A$7:$CP$70,4,FALSE)</f>
        <v>1562.4</v>
      </c>
      <c r="E5" s="189">
        <f>VLOOKUP($A$5,$A$7:$CP$70,5,FALSE)</f>
        <v>1036.7</v>
      </c>
      <c r="F5" s="189">
        <f>VLOOKUP($A$5,$A$7:$CP$70,6,FALSE)</f>
        <v>300.3</v>
      </c>
      <c r="G5" s="190">
        <f>VLOOKUP($A$5,$A$7:$CP$70,7,FALSE)</f>
        <v>316.60000000000002</v>
      </c>
      <c r="H5" s="178">
        <f>VLOOKUP($A$5,$A$7:$CP$70,8,FALSE)</f>
        <v>0.66353046594982079</v>
      </c>
      <c r="I5" s="179">
        <f>VLOOKUP($A$5,$A$7:$CP$70,9,FALSE)</f>
        <v>0.19220430107526881</v>
      </c>
      <c r="J5" s="180">
        <f>VLOOKUP($A$5,$A$7:$CP$70,10,FALSE)</f>
        <v>0.20263696876600101</v>
      </c>
      <c r="K5" s="188">
        <f>VLOOKUP($A$5,$A$7:$CP$70,11,FALSE)</f>
        <v>3879.1</v>
      </c>
      <c r="L5" s="189">
        <f>VLOOKUP($A$5,$A$7:$CP$70,12,FALSE)</f>
        <v>691.3</v>
      </c>
      <c r="M5" s="189">
        <f>VLOOKUP($A$5,$A$7:$CP$70,13,FALSE)</f>
        <v>762.09999999999991</v>
      </c>
      <c r="N5" s="190">
        <f>VLOOKUP($A$5,$A$7:$CP$70,14,FALSE)</f>
        <v>2191.6</v>
      </c>
      <c r="O5" s="178">
        <f>VLOOKUP($A$5,$A$7:$CP$70,15,FALSE)</f>
        <v>0.17821144079812326</v>
      </c>
      <c r="P5" s="179">
        <f>VLOOKUP($A$5,$A$7:$CP$70,16,FALSE)</f>
        <v>0.19646309711015439</v>
      </c>
      <c r="Q5" s="180">
        <f>VLOOKUP($A$5,$A$7:$CP$70,17,FALSE)</f>
        <v>0.56497641205434246</v>
      </c>
      <c r="R5" s="188">
        <f>VLOOKUP($A$5,$A$7:$CP$70,18,FALSE)</f>
        <v>3879.1</v>
      </c>
      <c r="S5" s="189">
        <f>VLOOKUP($A$5,$A$7:$CP$70,19,FALSE)</f>
        <v>271.10000000000002</v>
      </c>
      <c r="T5" s="189">
        <f>VLOOKUP($A$5,$A$7:$CP$70,20,FALSE)</f>
        <v>123.9</v>
      </c>
      <c r="U5" s="189">
        <f>VLOOKUP($A$5,$A$7:$CP$70,21,FALSE)</f>
        <v>66.2</v>
      </c>
      <c r="V5" s="189">
        <f>VLOOKUP($A$5,$A$7:$CP$70,22,FALSE)</f>
        <v>2.8</v>
      </c>
      <c r="W5" s="190">
        <f>VLOOKUP($A$5,$A$7:$CP$70,23,FALSE)</f>
        <v>464</v>
      </c>
      <c r="X5" s="188">
        <f>VLOOKUP($A$5,$A$7:$CP$70,24,FALSE)</f>
        <v>1832.1</v>
      </c>
      <c r="Y5" s="189">
        <f>VLOOKUP($A$5,$A$7:$CP$70,25,FALSE)</f>
        <v>117.6</v>
      </c>
      <c r="Z5" s="189">
        <f>VLOOKUP($A$5,$A$7:$CP$70,26,FALSE)</f>
        <v>47.9</v>
      </c>
      <c r="AA5" s="189">
        <f>VLOOKUP($A$5,$A$7:$CP$70,27,FALSE)</f>
        <v>35.6</v>
      </c>
      <c r="AB5" s="189">
        <f>VLOOKUP($A$5,$A$7:$CP$70,28,FALSE)</f>
        <v>1</v>
      </c>
      <c r="AC5" s="191">
        <f>VLOOKUP($A$5,$A$7:$CP$70,29,FALSE)</f>
        <v>202.1</v>
      </c>
      <c r="AD5" s="188">
        <f>VLOOKUP($A$5,$A$7:$CP$70,30,FALSE)</f>
        <v>2047</v>
      </c>
      <c r="AE5" s="189">
        <f>VLOOKUP($A$5,$A$7:$CP$70,31,FALSE)</f>
        <v>153.5</v>
      </c>
      <c r="AF5" s="189">
        <f>VLOOKUP($A$5,$A$7:$CP$70,32,FALSE)</f>
        <v>76</v>
      </c>
      <c r="AG5" s="189">
        <f>VLOOKUP($A$5,$A$7:$CP$70,33,FALSE)</f>
        <v>30.6</v>
      </c>
      <c r="AH5" s="189">
        <f>VLOOKUP($A$5,$A$7:$CP$70,34,FALSE)</f>
        <v>1.8</v>
      </c>
      <c r="AI5" s="191">
        <f>VLOOKUP($A$5,$A$7:$CP$70,35,FALSE)</f>
        <v>261.90000000000003</v>
      </c>
      <c r="AJ5" s="178">
        <f>VLOOKUP($A$5,$A$7:$CP$70,36,FALSE)</f>
        <v>0.11961537470031709</v>
      </c>
      <c r="AK5" s="179">
        <f>VLOOKUP($A$5,$A$7:$CP$70,37,FALSE)</f>
        <v>0.2670258620689655</v>
      </c>
      <c r="AL5" s="179">
        <f>VLOOKUP($A$5,$A$7:$CP$70,38,FALSE)</f>
        <v>0.14267241379310344</v>
      </c>
      <c r="AM5" s="179">
        <f>VLOOKUP($A$5,$A$7:$CP$70,39,FALSE)</f>
        <v>6.0344827586206896E-3</v>
      </c>
      <c r="AN5" s="182">
        <f>VLOOKUP($A$5,$A$7:$CP$70,40,FALSE)</f>
        <v>0.43556034482758621</v>
      </c>
      <c r="AO5" s="180">
        <f>VLOOKUP($A$5,$A$7:$CP$70,41,FALSE)</f>
        <v>0.5644396551724139</v>
      </c>
      <c r="AP5" s="192">
        <f>VLOOKUP($A$5,$A$7:$CP$70,42,FALSE)</f>
        <v>1902.4</v>
      </c>
      <c r="AQ5" s="189">
        <f>VLOOKUP($A$5,$A$7:$CP$70,43,FALSE)</f>
        <v>548.1</v>
      </c>
      <c r="AR5" s="189">
        <f>VLOOKUP($A$5,$A$7:$CP$70,44,FALSE)</f>
        <v>7</v>
      </c>
      <c r="AS5" s="189">
        <f>VLOOKUP($A$5,$A$7:$CP$70,45,FALSE)</f>
        <v>1</v>
      </c>
      <c r="AT5" s="189">
        <f>VLOOKUP($A$5,$A$7:$CP$70,46,FALSE)</f>
        <v>146.30000000000001</v>
      </c>
      <c r="AU5" s="189">
        <f>VLOOKUP($A$5,$A$7:$CP$70,47,FALSE)</f>
        <v>242.7</v>
      </c>
      <c r="AV5" s="189">
        <f>VLOOKUP($A$5,$A$7:$CP$70,48,FALSE)</f>
        <v>5</v>
      </c>
      <c r="AW5" s="189">
        <f>VLOOKUP($A$5,$A$7:$CP$70,49,FALSE)</f>
        <v>4.9000000000000004</v>
      </c>
      <c r="AX5" s="189">
        <f>VLOOKUP($A$5,$A$7:$CP$70,50,FALSE)</f>
        <v>50.5</v>
      </c>
      <c r="AY5" s="189">
        <f>VLOOKUP($A$5,$A$7:$CP$70,51,FALSE)</f>
        <v>183.2</v>
      </c>
      <c r="AZ5" s="189">
        <f>VLOOKUP($A$5,$A$7:$CP$70,52,FALSE)</f>
        <v>19</v>
      </c>
      <c r="BA5" s="189">
        <f>VLOOKUP($A$5,$A$7:$CP$70,53,FALSE)</f>
        <v>6.7</v>
      </c>
      <c r="BB5" s="189">
        <f>VLOOKUP($A$5,$A$7:$CP$70,54,FALSE)</f>
        <v>27.7</v>
      </c>
      <c r="BC5" s="189">
        <f>VLOOKUP($A$5,$A$7:$CP$70,55,FALSE)</f>
        <v>64.3</v>
      </c>
      <c r="BD5" s="189">
        <f>VLOOKUP($A$5,$A$7:$CP$70,56,FALSE)</f>
        <v>52.1</v>
      </c>
      <c r="BE5" s="189">
        <f>VLOOKUP($A$5,$A$7:$CP$70,57,FALSE)</f>
        <v>53.4</v>
      </c>
      <c r="BF5" s="189">
        <f>VLOOKUP($A$5,$A$7:$CP$70,58,FALSE)</f>
        <v>214</v>
      </c>
      <c r="BG5" s="189">
        <f>VLOOKUP($A$5,$A$7:$CP$70,59,FALSE)</f>
        <v>57.5</v>
      </c>
      <c r="BH5" s="189">
        <f>VLOOKUP($A$5,$A$7:$CP$70,60,FALSE)</f>
        <v>101</v>
      </c>
      <c r="BI5" s="189">
        <f>VLOOKUP($A$5,$A$7:$CP$70,61,FALSE)</f>
        <v>45.7</v>
      </c>
      <c r="BJ5" s="178">
        <f>VLOOKUP($A$5,$A$7:$CP$70,62,FALSE)</f>
        <v>0.28810975609756095</v>
      </c>
      <c r="BK5" s="179">
        <f>VLOOKUP($A$5,$A$7:$CP$70,63,FALSE)</f>
        <v>3.6795626576955425E-3</v>
      </c>
      <c r="BL5" s="179">
        <f>VLOOKUP($A$5,$A$7:$CP$70,64,FALSE)</f>
        <v>5.2565180824222036E-4</v>
      </c>
      <c r="BM5" s="179">
        <f>VLOOKUP($A$5,$A$7:$CP$70,65,FALSE)</f>
        <v>7.6902859545836838E-2</v>
      </c>
      <c r="BN5" s="179">
        <f>VLOOKUP($A$5,$A$7:$CP$70,66,FALSE)</f>
        <v>0.12757569386038686</v>
      </c>
      <c r="BO5" s="179">
        <f>VLOOKUP($A$5,$A$7:$CP$70,67,FALSE)</f>
        <v>2.6282590412111018E-3</v>
      </c>
      <c r="BP5" s="179">
        <f>VLOOKUP($A$5,$A$7:$CP$70,68,FALSE)</f>
        <v>2.5756938603868798E-3</v>
      </c>
      <c r="BQ5" s="179">
        <f>VLOOKUP($A$5,$A$7:$CP$70,69,FALSE)</f>
        <v>2.6545416316232126E-2</v>
      </c>
      <c r="BR5" s="179">
        <f>VLOOKUP($A$5,$A$7:$CP$70,70,FALSE)</f>
        <v>9.6299411269974752E-2</v>
      </c>
      <c r="BS5" s="179">
        <f>VLOOKUP($A$5,$A$7:$CP$70,71,FALSE)</f>
        <v>9.9873843566021855E-3</v>
      </c>
      <c r="BT5" s="179">
        <f>VLOOKUP($A$5,$A$7:$CP$70,72,FALSE)</f>
        <v>3.5218671152228761E-3</v>
      </c>
      <c r="BU5" s="179">
        <f>VLOOKUP($A$5,$A$7:$CP$70,73,FALSE)</f>
        <v>1.4560555088309503E-2</v>
      </c>
      <c r="BV5" s="179">
        <f>VLOOKUP($A$5,$A$7:$CP$70,74,FALSE)</f>
        <v>3.3799411269974766E-2</v>
      </c>
      <c r="BW5" s="179">
        <f>VLOOKUP($A$5,$A$7:$CP$70,75,FALSE)</f>
        <v>2.7386459209419681E-2</v>
      </c>
      <c r="BX5" s="179">
        <f>VLOOKUP($A$5,$A$7:$CP$70,76,FALSE)</f>
        <v>2.8069806560134566E-2</v>
      </c>
      <c r="BY5" s="179">
        <f>VLOOKUP($A$5,$A$7:$CP$70,77,FALSE)</f>
        <v>0.11248948696383515</v>
      </c>
      <c r="BZ5" s="179">
        <f>VLOOKUP($A$5,$A$7:$CP$70,78,FALSE)</f>
        <v>3.0224978973927667E-2</v>
      </c>
      <c r="CA5" s="179">
        <f>VLOOKUP($A$5,$A$7:$CP$70,79,FALSE)</f>
        <v>5.3090832632464252E-2</v>
      </c>
      <c r="CB5" s="180">
        <f>VLOOKUP($A$5,$A$7:$CP$70,80,FALSE)</f>
        <v>2.402228763666947E-2</v>
      </c>
      <c r="CC5" s="188">
        <f>VLOOKUP($A$5,$A$7:$CP$70,81,FALSE)</f>
        <v>1902.4</v>
      </c>
      <c r="CD5" s="190">
        <f>VLOOKUP($A$5,$A$7:$CP$70,82,FALSE)</f>
        <v>1359.7</v>
      </c>
      <c r="CE5" s="189">
        <f>VLOOKUP($A$5,$A$7:$CP$70,83,FALSE)</f>
        <v>504</v>
      </c>
      <c r="CF5" s="191">
        <f>VLOOKUP($A$5,$A$7:$CP$70,84,FALSE)</f>
        <v>3</v>
      </c>
      <c r="CG5" s="188">
        <f>VLOOKUP($A$5,$A$7:$CP$70,85,FALSE)</f>
        <v>137.4</v>
      </c>
      <c r="CH5" s="189">
        <f>VLOOKUP($A$5,$A$7:$CP$70,86,FALSE)</f>
        <v>67.2</v>
      </c>
      <c r="CI5" s="189">
        <f>VLOOKUP($A$5,$A$7:$CP$70,87,FALSE)</f>
        <v>61.3</v>
      </c>
      <c r="CJ5" s="191">
        <f>VLOOKUP($A$5,$A$7:$CP$70,88,FALSE)</f>
        <v>1</v>
      </c>
      <c r="CK5" s="178">
        <f>VLOOKUP($A$5,$A$7:$CP$70,89,FALSE)</f>
        <v>0.71472876366694704</v>
      </c>
      <c r="CL5" s="179">
        <f>VLOOKUP($A$5,$A$7:$CP$70,90,FALSE)</f>
        <v>0.26492851135407902</v>
      </c>
      <c r="CM5" s="180">
        <f>VLOOKUP($A$5,$A$7:$CP$70,91,FALSE)</f>
        <v>1.5769554247266611E-3</v>
      </c>
      <c r="CN5" s="178">
        <f>VLOOKUP($A$5,$A$7:$CP$70,92,FALSE)</f>
        <v>0.48908296943231439</v>
      </c>
      <c r="CO5" s="179">
        <f>VLOOKUP($A$5,$A$7:$CP$70,93,FALSE)</f>
        <v>0.44614264919941771</v>
      </c>
      <c r="CP5" s="180">
        <f>VLOOKUP($A$5,$A$7:$CP$70,94,FALSE)</f>
        <v>7.2780203784570596E-3</v>
      </c>
    </row>
    <row r="6" spans="1:94" s="241" customFormat="1" x14ac:dyDescent="0.15"/>
    <row r="7" spans="1:94" x14ac:dyDescent="0.15">
      <c r="A7" t="s">
        <v>428</v>
      </c>
      <c r="B7" t="s">
        <v>429</v>
      </c>
      <c r="C7" t="s">
        <v>438</v>
      </c>
      <c r="D7">
        <v>6466.6</v>
      </c>
      <c r="E7">
        <v>3061.3</v>
      </c>
      <c r="F7">
        <v>986.7</v>
      </c>
      <c r="G7">
        <v>982.4</v>
      </c>
      <c r="H7">
        <v>0.47340178764729535</v>
      </c>
      <c r="I7">
        <v>0.15258404725821917</v>
      </c>
      <c r="J7">
        <v>0.15191909194940154</v>
      </c>
      <c r="K7">
        <v>15913.9</v>
      </c>
      <c r="L7">
        <v>1803.7</v>
      </c>
      <c r="M7">
        <v>5568.9</v>
      </c>
      <c r="N7">
        <v>7271.4</v>
      </c>
      <c r="O7">
        <v>0.11334116715575693</v>
      </c>
      <c r="P7">
        <v>0.34993936118738961</v>
      </c>
      <c r="Q7">
        <v>0.45692130778753165</v>
      </c>
      <c r="R7">
        <v>15913.9</v>
      </c>
      <c r="S7">
        <v>1949.9</v>
      </c>
      <c r="T7">
        <v>1069.0999999999999</v>
      </c>
      <c r="U7">
        <v>434.8</v>
      </c>
      <c r="V7">
        <v>32.200000000000003</v>
      </c>
      <c r="W7">
        <v>3486</v>
      </c>
      <c r="X7">
        <v>7422.9</v>
      </c>
      <c r="Y7">
        <v>858.4</v>
      </c>
      <c r="Z7">
        <v>496.1</v>
      </c>
      <c r="AA7">
        <v>232.4</v>
      </c>
      <c r="AB7">
        <v>18</v>
      </c>
      <c r="AC7">
        <v>1604.9</v>
      </c>
      <c r="AD7">
        <v>8491</v>
      </c>
      <c r="AE7">
        <v>1091.5</v>
      </c>
      <c r="AF7">
        <v>573</v>
      </c>
      <c r="AG7">
        <v>202.4</v>
      </c>
      <c r="AH7">
        <v>14.2</v>
      </c>
      <c r="AI7">
        <v>1881.1000000000001</v>
      </c>
      <c r="AJ7">
        <v>0.21905378317068727</v>
      </c>
      <c r="AK7">
        <v>0.30668387837062533</v>
      </c>
      <c r="AL7">
        <v>0.12472748135398738</v>
      </c>
      <c r="AM7">
        <v>9.2369477911646587E-3</v>
      </c>
      <c r="AN7">
        <v>0.46038439472174414</v>
      </c>
      <c r="AO7">
        <v>0.53961560527825592</v>
      </c>
      <c r="AP7">
        <v>7537.6</v>
      </c>
      <c r="AQ7">
        <v>1026.9000000000001</v>
      </c>
      <c r="AR7">
        <v>10</v>
      </c>
      <c r="AS7">
        <v>0</v>
      </c>
      <c r="AT7">
        <v>616.70000000000005</v>
      </c>
      <c r="AU7">
        <v>955.3</v>
      </c>
      <c r="AV7">
        <v>36</v>
      </c>
      <c r="AW7">
        <v>53.1</v>
      </c>
      <c r="AX7">
        <v>213.5</v>
      </c>
      <c r="AY7">
        <v>1012.8</v>
      </c>
      <c r="AZ7">
        <v>110</v>
      </c>
      <c r="BA7">
        <v>57.3</v>
      </c>
      <c r="BB7">
        <v>122.3</v>
      </c>
      <c r="BC7">
        <v>357.7</v>
      </c>
      <c r="BD7">
        <v>280.89999999999998</v>
      </c>
      <c r="BE7">
        <v>302.60000000000002</v>
      </c>
      <c r="BF7">
        <v>1156</v>
      </c>
      <c r="BG7">
        <v>186.5</v>
      </c>
      <c r="BH7">
        <v>396</v>
      </c>
      <c r="BI7">
        <v>443.3</v>
      </c>
      <c r="BJ7">
        <v>0.13623699851411591</v>
      </c>
      <c r="BK7">
        <v>1.3266822330715345E-3</v>
      </c>
      <c r="BL7">
        <v>0</v>
      </c>
      <c r="BM7">
        <v>8.1816493313521546E-2</v>
      </c>
      <c r="BN7">
        <v>0.1267379537253237</v>
      </c>
      <c r="BO7">
        <v>4.7760560390575245E-3</v>
      </c>
      <c r="BP7">
        <v>7.0446826576098494E-3</v>
      </c>
      <c r="BQ7">
        <v>2.8324665676077266E-2</v>
      </c>
      <c r="BR7">
        <v>0.13436637656548503</v>
      </c>
      <c r="BS7">
        <v>1.459350456378688E-2</v>
      </c>
      <c r="BT7">
        <v>7.6018891954998929E-3</v>
      </c>
      <c r="BU7">
        <v>1.6225323710464867E-2</v>
      </c>
      <c r="BV7">
        <v>4.7455423476968794E-2</v>
      </c>
      <c r="BW7">
        <v>3.7266503926979402E-2</v>
      </c>
      <c r="BX7">
        <v>4.0145404372744643E-2</v>
      </c>
      <c r="BY7">
        <v>0.15336446614306939</v>
      </c>
      <c r="BZ7">
        <v>2.4742623646784121E-2</v>
      </c>
      <c r="CA7">
        <v>5.2536616429632775E-2</v>
      </c>
      <c r="CB7">
        <v>5.8811823392061133E-2</v>
      </c>
      <c r="CC7">
        <v>7537.6</v>
      </c>
      <c r="CD7">
        <v>4973.3</v>
      </c>
      <c r="CE7">
        <v>2418</v>
      </c>
      <c r="CF7">
        <v>23</v>
      </c>
      <c r="CG7">
        <v>737.6</v>
      </c>
      <c r="CH7">
        <v>428.8</v>
      </c>
      <c r="CI7">
        <v>270.7</v>
      </c>
      <c r="CJ7">
        <v>10</v>
      </c>
      <c r="CK7">
        <v>0.65979887497346634</v>
      </c>
      <c r="CL7">
        <v>0.32079176395669706</v>
      </c>
      <c r="CM7">
        <v>3.0513691360645298E-3</v>
      </c>
      <c r="CN7">
        <v>0.58134490238611713</v>
      </c>
      <c r="CO7">
        <v>0.36700108459869846</v>
      </c>
      <c r="CP7">
        <v>1.3557483731019523E-2</v>
      </c>
    </row>
    <row r="8" spans="1:94" x14ac:dyDescent="0.15">
      <c r="A8" t="s">
        <v>430</v>
      </c>
      <c r="B8" t="s">
        <v>429</v>
      </c>
      <c r="C8" t="s">
        <v>439</v>
      </c>
      <c r="D8">
        <v>1562.4</v>
      </c>
      <c r="E8">
        <v>1036.7</v>
      </c>
      <c r="F8">
        <v>300.3</v>
      </c>
      <c r="G8">
        <v>316.60000000000002</v>
      </c>
      <c r="H8">
        <v>0.66353046594982079</v>
      </c>
      <c r="I8">
        <v>0.19220430107526881</v>
      </c>
      <c r="J8">
        <v>0.20263696876600101</v>
      </c>
      <c r="K8">
        <v>3879.1</v>
      </c>
      <c r="L8">
        <v>691.3</v>
      </c>
      <c r="M8">
        <v>762.09999999999991</v>
      </c>
      <c r="N8">
        <v>2191.6</v>
      </c>
      <c r="O8">
        <v>0.17821144079812326</v>
      </c>
      <c r="P8">
        <v>0.19646309711015439</v>
      </c>
      <c r="Q8">
        <v>0.56497641205434246</v>
      </c>
      <c r="R8">
        <v>3879.1</v>
      </c>
      <c r="S8">
        <v>271.10000000000002</v>
      </c>
      <c r="T8">
        <v>123.9</v>
      </c>
      <c r="U8">
        <v>66.2</v>
      </c>
      <c r="V8">
        <v>2.8</v>
      </c>
      <c r="W8">
        <v>464</v>
      </c>
      <c r="X8">
        <v>1832.1</v>
      </c>
      <c r="Y8">
        <v>117.6</v>
      </c>
      <c r="Z8">
        <v>47.9</v>
      </c>
      <c r="AA8">
        <v>35.6</v>
      </c>
      <c r="AB8">
        <v>1</v>
      </c>
      <c r="AC8">
        <v>202.1</v>
      </c>
      <c r="AD8">
        <v>2047</v>
      </c>
      <c r="AE8">
        <v>153.5</v>
      </c>
      <c r="AF8">
        <v>76</v>
      </c>
      <c r="AG8">
        <v>30.6</v>
      </c>
      <c r="AH8">
        <v>1.8</v>
      </c>
      <c r="AI8">
        <v>261.90000000000003</v>
      </c>
      <c r="AJ8">
        <v>0.11961537470031709</v>
      </c>
      <c r="AK8">
        <v>0.2670258620689655</v>
      </c>
      <c r="AL8">
        <v>0.14267241379310344</v>
      </c>
      <c r="AM8">
        <v>6.0344827586206896E-3</v>
      </c>
      <c r="AN8">
        <v>0.43556034482758621</v>
      </c>
      <c r="AO8">
        <v>0.5644396551724139</v>
      </c>
      <c r="AP8">
        <v>1902.4</v>
      </c>
      <c r="AQ8">
        <v>548.1</v>
      </c>
      <c r="AR8">
        <v>7</v>
      </c>
      <c r="AS8">
        <v>1</v>
      </c>
      <c r="AT8">
        <v>146.30000000000001</v>
      </c>
      <c r="AU8">
        <v>242.7</v>
      </c>
      <c r="AV8">
        <v>5</v>
      </c>
      <c r="AW8">
        <v>4.9000000000000004</v>
      </c>
      <c r="AX8">
        <v>50.5</v>
      </c>
      <c r="AY8">
        <v>183.2</v>
      </c>
      <c r="AZ8">
        <v>19</v>
      </c>
      <c r="BA8">
        <v>6.7</v>
      </c>
      <c r="BB8">
        <v>27.7</v>
      </c>
      <c r="BC8">
        <v>64.3</v>
      </c>
      <c r="BD8">
        <v>52.1</v>
      </c>
      <c r="BE8">
        <v>53.4</v>
      </c>
      <c r="BF8">
        <v>214</v>
      </c>
      <c r="BG8">
        <v>57.5</v>
      </c>
      <c r="BH8">
        <v>101</v>
      </c>
      <c r="BI8">
        <v>45.7</v>
      </c>
      <c r="BJ8">
        <v>0.28810975609756095</v>
      </c>
      <c r="BK8">
        <v>3.6795626576955425E-3</v>
      </c>
      <c r="BL8">
        <v>5.2565180824222036E-4</v>
      </c>
      <c r="BM8">
        <v>7.6902859545836838E-2</v>
      </c>
      <c r="BN8">
        <v>0.12757569386038686</v>
      </c>
      <c r="BO8">
        <v>2.6282590412111018E-3</v>
      </c>
      <c r="BP8">
        <v>2.5756938603868798E-3</v>
      </c>
      <c r="BQ8">
        <v>2.6545416316232126E-2</v>
      </c>
      <c r="BR8">
        <v>9.6299411269974752E-2</v>
      </c>
      <c r="BS8">
        <v>9.9873843566021855E-3</v>
      </c>
      <c r="BT8">
        <v>3.5218671152228761E-3</v>
      </c>
      <c r="BU8">
        <v>1.4560555088309503E-2</v>
      </c>
      <c r="BV8">
        <v>3.3799411269974766E-2</v>
      </c>
      <c r="BW8">
        <v>2.7386459209419681E-2</v>
      </c>
      <c r="BX8">
        <v>2.8069806560134566E-2</v>
      </c>
      <c r="BY8">
        <v>0.11248948696383515</v>
      </c>
      <c r="BZ8">
        <v>3.0224978973927667E-2</v>
      </c>
      <c r="CA8">
        <v>5.3090832632464252E-2</v>
      </c>
      <c r="CB8">
        <v>2.402228763666947E-2</v>
      </c>
      <c r="CC8">
        <v>1902.4</v>
      </c>
      <c r="CD8">
        <v>1359.7</v>
      </c>
      <c r="CE8">
        <v>504</v>
      </c>
      <c r="CF8">
        <v>3</v>
      </c>
      <c r="CG8">
        <v>137.4</v>
      </c>
      <c r="CH8">
        <v>67.2</v>
      </c>
      <c r="CI8">
        <v>61.3</v>
      </c>
      <c r="CJ8">
        <v>1</v>
      </c>
      <c r="CK8">
        <v>0.71472876366694704</v>
      </c>
      <c r="CL8">
        <v>0.26492851135407902</v>
      </c>
      <c r="CM8">
        <v>1.5769554247266611E-3</v>
      </c>
      <c r="CN8">
        <v>0.48908296943231439</v>
      </c>
      <c r="CO8">
        <v>0.44614264919941771</v>
      </c>
      <c r="CP8">
        <v>7.2780203784570596E-3</v>
      </c>
    </row>
    <row r="9" spans="1:94" x14ac:dyDescent="0.15">
      <c r="A9" t="s">
        <v>431</v>
      </c>
      <c r="B9" t="s">
        <v>429</v>
      </c>
      <c r="C9" t="s">
        <v>440</v>
      </c>
      <c r="D9">
        <v>1033</v>
      </c>
      <c r="E9">
        <v>741</v>
      </c>
      <c r="F9">
        <v>207</v>
      </c>
      <c r="G9">
        <v>259</v>
      </c>
      <c r="H9">
        <v>0.71732817037754115</v>
      </c>
      <c r="I9">
        <v>0.20038722168441434</v>
      </c>
      <c r="J9">
        <v>0.25072604065827686</v>
      </c>
      <c r="K9">
        <v>2404</v>
      </c>
      <c r="L9">
        <v>461</v>
      </c>
      <c r="M9">
        <v>445</v>
      </c>
      <c r="N9">
        <v>1426</v>
      </c>
      <c r="O9">
        <v>0.19176372712146422</v>
      </c>
      <c r="P9">
        <v>0.185108153078203</v>
      </c>
      <c r="Q9">
        <v>0.59317803660565727</v>
      </c>
      <c r="R9">
        <v>2404</v>
      </c>
      <c r="S9">
        <v>134</v>
      </c>
      <c r="T9">
        <v>83</v>
      </c>
      <c r="U9">
        <v>35</v>
      </c>
      <c r="V9">
        <v>1</v>
      </c>
      <c r="W9">
        <v>253</v>
      </c>
      <c r="X9">
        <v>1134</v>
      </c>
      <c r="Y9">
        <v>60</v>
      </c>
      <c r="Z9">
        <v>39</v>
      </c>
      <c r="AA9">
        <v>19</v>
      </c>
      <c r="AB9">
        <v>0</v>
      </c>
      <c r="AC9">
        <v>118</v>
      </c>
      <c r="AD9">
        <v>1270</v>
      </c>
      <c r="AE9">
        <v>74</v>
      </c>
      <c r="AF9">
        <v>44</v>
      </c>
      <c r="AG9">
        <v>16</v>
      </c>
      <c r="AH9">
        <v>1</v>
      </c>
      <c r="AI9">
        <v>135</v>
      </c>
      <c r="AJ9">
        <v>0.10524126455906822</v>
      </c>
      <c r="AK9">
        <v>0.32806324110671936</v>
      </c>
      <c r="AL9">
        <v>0.13833992094861661</v>
      </c>
      <c r="AM9">
        <v>3.952569169960474E-3</v>
      </c>
      <c r="AN9">
        <v>0.466403162055336</v>
      </c>
      <c r="AO9">
        <v>0.53359683794466406</v>
      </c>
      <c r="AP9">
        <v>1191</v>
      </c>
      <c r="AQ9">
        <v>346</v>
      </c>
      <c r="AR9">
        <v>3</v>
      </c>
      <c r="AS9">
        <v>0</v>
      </c>
      <c r="AT9">
        <v>126</v>
      </c>
      <c r="AU9">
        <v>152</v>
      </c>
      <c r="AV9">
        <v>4</v>
      </c>
      <c r="AW9">
        <v>6</v>
      </c>
      <c r="AX9">
        <v>31</v>
      </c>
      <c r="AY9">
        <v>105</v>
      </c>
      <c r="AZ9">
        <v>12</v>
      </c>
      <c r="BA9">
        <v>3</v>
      </c>
      <c r="BB9">
        <v>9</v>
      </c>
      <c r="BC9">
        <v>35</v>
      </c>
      <c r="BD9">
        <v>44</v>
      </c>
      <c r="BE9">
        <v>21</v>
      </c>
      <c r="BF9">
        <v>128</v>
      </c>
      <c r="BG9">
        <v>33</v>
      </c>
      <c r="BH9">
        <v>64</v>
      </c>
      <c r="BI9">
        <v>24</v>
      </c>
      <c r="BJ9">
        <v>0.29051217464315698</v>
      </c>
      <c r="BK9">
        <v>2.5188916876574307E-3</v>
      </c>
      <c r="BL9">
        <v>0</v>
      </c>
      <c r="BM9">
        <v>0.10579345088161209</v>
      </c>
      <c r="BN9">
        <v>0.12762384550797648</v>
      </c>
      <c r="BO9">
        <v>3.3585222502099076E-3</v>
      </c>
      <c r="BP9">
        <v>5.0377833753148613E-3</v>
      </c>
      <c r="BQ9">
        <v>2.6028547439126783E-2</v>
      </c>
      <c r="BR9">
        <v>8.8161209068010074E-2</v>
      </c>
      <c r="BS9">
        <v>1.0075566750629723E-2</v>
      </c>
      <c r="BT9">
        <v>2.5188916876574307E-3</v>
      </c>
      <c r="BU9">
        <v>7.556675062972292E-3</v>
      </c>
      <c r="BV9">
        <v>2.938706968933669E-2</v>
      </c>
      <c r="BW9">
        <v>3.6943744752308987E-2</v>
      </c>
      <c r="BX9">
        <v>1.7632241813602016E-2</v>
      </c>
      <c r="BY9">
        <v>0.10747271200671704</v>
      </c>
      <c r="BZ9">
        <v>2.7707808564231738E-2</v>
      </c>
      <c r="CA9">
        <v>5.3736356003358521E-2</v>
      </c>
      <c r="CB9">
        <v>2.0151133501259445E-2</v>
      </c>
      <c r="CC9">
        <v>1191</v>
      </c>
      <c r="CD9">
        <v>820</v>
      </c>
      <c r="CE9">
        <v>336</v>
      </c>
      <c r="CF9">
        <v>3</v>
      </c>
      <c r="CG9">
        <v>73</v>
      </c>
      <c r="CH9">
        <v>41</v>
      </c>
      <c r="CI9">
        <v>24</v>
      </c>
      <c r="CJ9">
        <v>3</v>
      </c>
      <c r="CK9">
        <v>0.68849706129303112</v>
      </c>
      <c r="CL9">
        <v>0.28211586901763225</v>
      </c>
      <c r="CM9">
        <v>2.5188916876574307E-3</v>
      </c>
      <c r="CN9">
        <v>0.56164383561643838</v>
      </c>
      <c r="CO9">
        <v>0.32876712328767121</v>
      </c>
      <c r="CP9">
        <v>4.1095890410958902E-2</v>
      </c>
    </row>
    <row r="10" spans="1:94" x14ac:dyDescent="0.15">
      <c r="A10" t="s">
        <v>432</v>
      </c>
      <c r="B10" t="s">
        <v>429</v>
      </c>
      <c r="C10" t="s">
        <v>441</v>
      </c>
      <c r="D10">
        <v>1233</v>
      </c>
      <c r="E10">
        <v>790</v>
      </c>
      <c r="F10">
        <v>243</v>
      </c>
      <c r="G10">
        <v>241</v>
      </c>
      <c r="H10">
        <v>0.6407137064071371</v>
      </c>
      <c r="I10">
        <v>0.19708029197080293</v>
      </c>
      <c r="J10">
        <v>0.19545823195458231</v>
      </c>
      <c r="K10">
        <v>2919</v>
      </c>
      <c r="L10">
        <v>609</v>
      </c>
      <c r="M10">
        <v>529</v>
      </c>
      <c r="N10">
        <v>1647</v>
      </c>
      <c r="O10">
        <v>0.20863309352517986</v>
      </c>
      <c r="P10">
        <v>0.18122644741349778</v>
      </c>
      <c r="Q10">
        <v>0.56423432682425489</v>
      </c>
      <c r="R10">
        <v>2919</v>
      </c>
      <c r="S10">
        <v>137</v>
      </c>
      <c r="T10">
        <v>113</v>
      </c>
      <c r="U10">
        <v>28</v>
      </c>
      <c r="V10">
        <v>1</v>
      </c>
      <c r="W10">
        <v>279</v>
      </c>
      <c r="X10">
        <v>1390</v>
      </c>
      <c r="Y10">
        <v>48</v>
      </c>
      <c r="Z10">
        <v>49</v>
      </c>
      <c r="AA10">
        <v>18</v>
      </c>
      <c r="AB10">
        <v>1</v>
      </c>
      <c r="AC10">
        <v>116</v>
      </c>
      <c r="AD10">
        <v>1529</v>
      </c>
      <c r="AE10">
        <v>89</v>
      </c>
      <c r="AF10">
        <v>64</v>
      </c>
      <c r="AG10">
        <v>10</v>
      </c>
      <c r="AH10">
        <v>0</v>
      </c>
      <c r="AI10">
        <v>163</v>
      </c>
      <c r="AJ10">
        <v>9.5580678314491269E-2</v>
      </c>
      <c r="AK10">
        <v>0.4050179211469534</v>
      </c>
      <c r="AL10">
        <v>0.1003584229390681</v>
      </c>
      <c r="AM10">
        <v>3.5842293906810036E-3</v>
      </c>
      <c r="AN10">
        <v>0.4157706093189964</v>
      </c>
      <c r="AO10">
        <v>0.58422939068100355</v>
      </c>
      <c r="AP10">
        <v>1561</v>
      </c>
      <c r="AQ10">
        <v>528</v>
      </c>
      <c r="AR10">
        <v>1</v>
      </c>
      <c r="AS10">
        <v>3</v>
      </c>
      <c r="AT10">
        <v>110</v>
      </c>
      <c r="AU10">
        <v>162</v>
      </c>
      <c r="AV10">
        <v>0</v>
      </c>
      <c r="AW10">
        <v>9</v>
      </c>
      <c r="AX10">
        <v>54</v>
      </c>
      <c r="AY10">
        <v>136</v>
      </c>
      <c r="AZ10">
        <v>13</v>
      </c>
      <c r="BA10">
        <v>10</v>
      </c>
      <c r="BB10">
        <v>16</v>
      </c>
      <c r="BC10">
        <v>29</v>
      </c>
      <c r="BD10">
        <v>41</v>
      </c>
      <c r="BE10">
        <v>26</v>
      </c>
      <c r="BF10">
        <v>177</v>
      </c>
      <c r="BG10">
        <v>39</v>
      </c>
      <c r="BH10">
        <v>93</v>
      </c>
      <c r="BI10">
        <v>35</v>
      </c>
      <c r="BJ10">
        <v>0.33824471492632929</v>
      </c>
      <c r="BK10">
        <v>6.406149903907751E-4</v>
      </c>
      <c r="BL10">
        <v>1.9218449711723255E-3</v>
      </c>
      <c r="BM10">
        <v>7.0467648942985267E-2</v>
      </c>
      <c r="BN10">
        <v>0.10377962844330557</v>
      </c>
      <c r="BO10">
        <v>0</v>
      </c>
      <c r="BP10">
        <v>5.7655349135169766E-3</v>
      </c>
      <c r="BQ10">
        <v>3.459320948110186E-2</v>
      </c>
      <c r="BR10">
        <v>8.7123638693145419E-2</v>
      </c>
      <c r="BS10">
        <v>8.3279948750800761E-3</v>
      </c>
      <c r="BT10">
        <v>6.4061499039077515E-3</v>
      </c>
      <c r="BU10">
        <v>1.0249839846252402E-2</v>
      </c>
      <c r="BV10">
        <v>1.8577834721332478E-2</v>
      </c>
      <c r="BW10">
        <v>2.626521460602178E-2</v>
      </c>
      <c r="BX10">
        <v>1.6655989750160152E-2</v>
      </c>
      <c r="BY10">
        <v>0.1133888532991672</v>
      </c>
      <c r="BZ10">
        <v>2.4983984625240232E-2</v>
      </c>
      <c r="CA10">
        <v>5.9577194106342088E-2</v>
      </c>
      <c r="CB10">
        <v>2.2421524663677129E-2</v>
      </c>
      <c r="CC10">
        <v>1561</v>
      </c>
      <c r="CD10">
        <v>1043</v>
      </c>
      <c r="CE10">
        <v>462</v>
      </c>
      <c r="CF10">
        <v>2</v>
      </c>
      <c r="CG10">
        <v>100</v>
      </c>
      <c r="CH10">
        <v>52</v>
      </c>
      <c r="CI10">
        <v>46</v>
      </c>
      <c r="CJ10">
        <v>0</v>
      </c>
      <c r="CK10">
        <v>0.66816143497757852</v>
      </c>
      <c r="CL10">
        <v>0.29596412556053814</v>
      </c>
      <c r="CM10">
        <v>1.2812299807815502E-3</v>
      </c>
      <c r="CN10">
        <v>0.52</v>
      </c>
      <c r="CO10">
        <v>0.46</v>
      </c>
      <c r="CP10">
        <v>0</v>
      </c>
    </row>
    <row r="11" spans="1:94" x14ac:dyDescent="0.15">
      <c r="A11" t="s">
        <v>433</v>
      </c>
      <c r="B11" t="s">
        <v>429</v>
      </c>
      <c r="C11" t="s">
        <v>442</v>
      </c>
      <c r="D11">
        <v>1325</v>
      </c>
      <c r="E11">
        <v>933</v>
      </c>
      <c r="F11">
        <v>292</v>
      </c>
      <c r="G11">
        <v>261</v>
      </c>
      <c r="H11">
        <v>0.70415094339622641</v>
      </c>
      <c r="I11">
        <v>0.22037735849056603</v>
      </c>
      <c r="J11">
        <v>0.19698113207547169</v>
      </c>
      <c r="K11">
        <v>3250</v>
      </c>
      <c r="L11">
        <v>654</v>
      </c>
      <c r="M11">
        <v>567</v>
      </c>
      <c r="N11">
        <v>1905</v>
      </c>
      <c r="O11">
        <v>0.20123076923076924</v>
      </c>
      <c r="P11">
        <v>0.17446153846153847</v>
      </c>
      <c r="Q11">
        <v>0.58615384615384614</v>
      </c>
      <c r="R11">
        <v>3250</v>
      </c>
      <c r="S11">
        <v>210</v>
      </c>
      <c r="T11">
        <v>72</v>
      </c>
      <c r="U11">
        <v>33</v>
      </c>
      <c r="V11">
        <v>3</v>
      </c>
      <c r="W11">
        <v>318</v>
      </c>
      <c r="X11">
        <v>1516</v>
      </c>
      <c r="Y11">
        <v>77</v>
      </c>
      <c r="Z11">
        <v>35</v>
      </c>
      <c r="AA11">
        <v>15</v>
      </c>
      <c r="AB11">
        <v>0</v>
      </c>
      <c r="AC11">
        <v>127</v>
      </c>
      <c r="AD11">
        <v>1734</v>
      </c>
      <c r="AE11">
        <v>133</v>
      </c>
      <c r="AF11">
        <v>37</v>
      </c>
      <c r="AG11">
        <v>18</v>
      </c>
      <c r="AH11">
        <v>3</v>
      </c>
      <c r="AI11">
        <v>191</v>
      </c>
      <c r="AJ11">
        <v>9.7846153846153847E-2</v>
      </c>
      <c r="AK11">
        <v>0.22641509433962265</v>
      </c>
      <c r="AL11">
        <v>0.10377358490566038</v>
      </c>
      <c r="AM11">
        <v>9.433962264150943E-3</v>
      </c>
      <c r="AN11">
        <v>0.39937106918238996</v>
      </c>
      <c r="AO11">
        <v>0.60062893081761004</v>
      </c>
      <c r="AP11">
        <v>1750</v>
      </c>
      <c r="AQ11">
        <v>622</v>
      </c>
      <c r="AR11">
        <v>1</v>
      </c>
      <c r="AS11">
        <v>0</v>
      </c>
      <c r="AT11">
        <v>148</v>
      </c>
      <c r="AU11">
        <v>172</v>
      </c>
      <c r="AV11">
        <v>1</v>
      </c>
      <c r="AW11">
        <v>2</v>
      </c>
      <c r="AX11">
        <v>52</v>
      </c>
      <c r="AY11">
        <v>174</v>
      </c>
      <c r="AZ11">
        <v>9</v>
      </c>
      <c r="BA11">
        <v>9</v>
      </c>
      <c r="BB11">
        <v>13</v>
      </c>
      <c r="BC11">
        <v>28</v>
      </c>
      <c r="BD11">
        <v>31</v>
      </c>
      <c r="BE11">
        <v>22</v>
      </c>
      <c r="BF11">
        <v>201</v>
      </c>
      <c r="BG11">
        <v>36</v>
      </c>
      <c r="BH11">
        <v>82</v>
      </c>
      <c r="BI11">
        <v>35</v>
      </c>
      <c r="BJ11">
        <v>0.35542857142857143</v>
      </c>
      <c r="BK11">
        <v>5.7142857142857147E-4</v>
      </c>
      <c r="BL11">
        <v>0</v>
      </c>
      <c r="BM11">
        <v>8.4571428571428575E-2</v>
      </c>
      <c r="BN11">
        <v>9.8285714285714282E-2</v>
      </c>
      <c r="BO11">
        <v>5.7142857142857147E-4</v>
      </c>
      <c r="BP11">
        <v>1.1428571428571429E-3</v>
      </c>
      <c r="BQ11">
        <v>2.9714285714285714E-2</v>
      </c>
      <c r="BR11">
        <v>9.9428571428571422E-2</v>
      </c>
      <c r="BS11">
        <v>5.1428571428571426E-3</v>
      </c>
      <c r="BT11">
        <v>5.1428571428571426E-3</v>
      </c>
      <c r="BU11">
        <v>7.4285714285714285E-3</v>
      </c>
      <c r="BV11">
        <v>1.6E-2</v>
      </c>
      <c r="BW11">
        <v>1.7714285714285714E-2</v>
      </c>
      <c r="BX11">
        <v>1.2571428571428572E-2</v>
      </c>
      <c r="BY11">
        <v>0.11485714285714285</v>
      </c>
      <c r="BZ11">
        <v>2.057142857142857E-2</v>
      </c>
      <c r="CA11">
        <v>4.6857142857142854E-2</v>
      </c>
      <c r="CB11">
        <v>0.02</v>
      </c>
      <c r="CC11">
        <v>1750</v>
      </c>
      <c r="CD11">
        <v>1244</v>
      </c>
      <c r="CE11">
        <v>442</v>
      </c>
      <c r="CF11">
        <v>4</v>
      </c>
      <c r="CG11">
        <v>91</v>
      </c>
      <c r="CH11">
        <v>53</v>
      </c>
      <c r="CI11">
        <v>35</v>
      </c>
      <c r="CJ11">
        <v>0</v>
      </c>
      <c r="CK11">
        <v>0.71085714285714285</v>
      </c>
      <c r="CL11">
        <v>0.25257142857142856</v>
      </c>
      <c r="CM11">
        <v>2.2857142857142859E-3</v>
      </c>
      <c r="CN11">
        <v>0.58241758241758246</v>
      </c>
      <c r="CO11">
        <v>0.38461538461538464</v>
      </c>
      <c r="CP11">
        <v>0</v>
      </c>
    </row>
    <row r="12" spans="1:94" x14ac:dyDescent="0.15">
      <c r="A12" t="s">
        <v>434</v>
      </c>
      <c r="B12" t="s">
        <v>429</v>
      </c>
      <c r="C12" t="s">
        <v>443</v>
      </c>
      <c r="D12">
        <v>124</v>
      </c>
      <c r="E12">
        <v>91</v>
      </c>
      <c r="F12">
        <v>24</v>
      </c>
      <c r="G12">
        <v>44</v>
      </c>
      <c r="H12">
        <v>0.7338709677419355</v>
      </c>
      <c r="I12">
        <v>0.19354838709677419</v>
      </c>
      <c r="J12">
        <v>0.35483870967741937</v>
      </c>
      <c r="K12">
        <v>244</v>
      </c>
      <c r="L12">
        <v>45</v>
      </c>
      <c r="M12">
        <v>80</v>
      </c>
      <c r="N12">
        <v>118</v>
      </c>
      <c r="O12">
        <v>0.18442622950819673</v>
      </c>
      <c r="P12">
        <v>0.32786885245901637</v>
      </c>
      <c r="Q12">
        <v>0.48360655737704916</v>
      </c>
      <c r="R12">
        <v>244</v>
      </c>
      <c r="S12">
        <v>17</v>
      </c>
      <c r="T12">
        <v>33</v>
      </c>
      <c r="U12">
        <v>7</v>
      </c>
      <c r="V12">
        <v>4</v>
      </c>
      <c r="W12">
        <v>61</v>
      </c>
      <c r="X12">
        <v>128</v>
      </c>
      <c r="Y12">
        <v>6</v>
      </c>
      <c r="Z12">
        <v>20</v>
      </c>
      <c r="AA12">
        <v>3</v>
      </c>
      <c r="AB12">
        <v>2</v>
      </c>
      <c r="AC12">
        <v>31</v>
      </c>
      <c r="AD12">
        <v>116</v>
      </c>
      <c r="AE12">
        <v>11</v>
      </c>
      <c r="AF12">
        <v>13</v>
      </c>
      <c r="AG12">
        <v>4</v>
      </c>
      <c r="AH12">
        <v>2</v>
      </c>
      <c r="AI12">
        <v>30</v>
      </c>
      <c r="AJ12">
        <v>0.25</v>
      </c>
      <c r="AK12">
        <v>0.54098360655737709</v>
      </c>
      <c r="AL12">
        <v>0.11475409836065574</v>
      </c>
      <c r="AM12">
        <v>6.5573770491803282E-2</v>
      </c>
      <c r="AN12">
        <v>0.50819672131147542</v>
      </c>
      <c r="AO12">
        <v>0.49180327868852458</v>
      </c>
      <c r="AP12">
        <v>85</v>
      </c>
      <c r="AQ12">
        <v>39</v>
      </c>
      <c r="AR12">
        <v>0</v>
      </c>
      <c r="AS12">
        <v>0</v>
      </c>
      <c r="AT12">
        <v>3</v>
      </c>
      <c r="AU12">
        <v>11</v>
      </c>
      <c r="AV12">
        <v>0</v>
      </c>
      <c r="AW12">
        <v>1</v>
      </c>
      <c r="AX12">
        <v>1</v>
      </c>
      <c r="AY12">
        <v>2</v>
      </c>
      <c r="AZ12">
        <v>0</v>
      </c>
      <c r="BA12">
        <v>0</v>
      </c>
      <c r="BB12">
        <v>0</v>
      </c>
      <c r="BC12">
        <v>0</v>
      </c>
      <c r="BD12">
        <v>0</v>
      </c>
      <c r="BE12">
        <v>10</v>
      </c>
      <c r="BF12">
        <v>4</v>
      </c>
      <c r="BG12">
        <v>4</v>
      </c>
      <c r="BH12">
        <v>1</v>
      </c>
      <c r="BI12">
        <v>4</v>
      </c>
      <c r="BJ12">
        <v>0.45882352941176469</v>
      </c>
      <c r="BK12">
        <v>0</v>
      </c>
      <c r="BL12">
        <v>0</v>
      </c>
      <c r="BM12">
        <v>3.5294117647058823E-2</v>
      </c>
      <c r="BN12">
        <v>0.12941176470588237</v>
      </c>
      <c r="BO12">
        <v>0</v>
      </c>
      <c r="BP12">
        <v>1.1764705882352941E-2</v>
      </c>
      <c r="BQ12">
        <v>1.1764705882352941E-2</v>
      </c>
      <c r="BR12">
        <v>2.3529411764705882E-2</v>
      </c>
      <c r="BS12">
        <v>0</v>
      </c>
      <c r="BT12">
        <v>0</v>
      </c>
      <c r="BU12">
        <v>0</v>
      </c>
      <c r="BV12">
        <v>0</v>
      </c>
      <c r="BW12">
        <v>0</v>
      </c>
      <c r="BX12">
        <v>0.11764705882352941</v>
      </c>
      <c r="BY12">
        <v>4.7058823529411764E-2</v>
      </c>
      <c r="BZ12">
        <v>4.7058823529411764E-2</v>
      </c>
      <c r="CA12">
        <v>1.1764705882352941E-2</v>
      </c>
      <c r="CB12">
        <v>4.7058823529411764E-2</v>
      </c>
      <c r="CC12">
        <v>85</v>
      </c>
      <c r="CD12">
        <v>79</v>
      </c>
      <c r="CE12">
        <v>4</v>
      </c>
      <c r="CF12">
        <v>0</v>
      </c>
      <c r="CG12">
        <v>4</v>
      </c>
      <c r="CH12">
        <v>3</v>
      </c>
      <c r="CI12">
        <v>1</v>
      </c>
      <c r="CJ12">
        <v>0</v>
      </c>
      <c r="CK12">
        <v>0.92941176470588238</v>
      </c>
      <c r="CL12">
        <v>4.7058823529411764E-2</v>
      </c>
      <c r="CM12">
        <v>0</v>
      </c>
      <c r="CN12">
        <v>0.75</v>
      </c>
      <c r="CO12">
        <v>0.25</v>
      </c>
      <c r="CP12">
        <v>0</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A2" s="252" t="str">
        <f>管理者入力シート!B4</f>
        <v>穂北地区</v>
      </c>
      <c r="B2" s="252"/>
      <c r="C2" s="252"/>
      <c r="D2" s="252"/>
      <c r="E2" s="253" t="s">
        <v>225</v>
      </c>
      <c r="F2" s="253"/>
      <c r="G2" s="253"/>
      <c r="H2" s="253"/>
      <c r="I2" s="253"/>
    </row>
    <row r="3" spans="1:10" ht="22.5" customHeight="1" x14ac:dyDescent="0.15">
      <c r="A3" s="252"/>
      <c r="B3" s="252"/>
      <c r="C3" s="252"/>
      <c r="D3" s="252"/>
      <c r="E3" s="253"/>
      <c r="F3" s="253"/>
      <c r="G3" s="253"/>
      <c r="H3" s="253"/>
      <c r="I3" s="253"/>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8">
        <f>管理者入力シート!B5</f>
        <v>2020</v>
      </c>
      <c r="B6" s="248"/>
      <c r="C6" s="20" t="s">
        <v>248</v>
      </c>
      <c r="E6" s="256">
        <f>管理者用グラフシート!E6</f>
        <v>3882</v>
      </c>
      <c r="F6" s="256"/>
      <c r="G6" s="20" t="s">
        <v>54</v>
      </c>
    </row>
    <row r="7" spans="1:10" ht="22.5" customHeight="1" x14ac:dyDescent="0.15">
      <c r="A7" s="248">
        <f>管理者用グラフシート!B4</f>
        <v>2010</v>
      </c>
      <c r="B7" s="248"/>
      <c r="C7" s="82" t="s">
        <v>226</v>
      </c>
      <c r="D7" s="250">
        <f>E6-管理者用グラフシート!E4</f>
        <v>-985</v>
      </c>
      <c r="E7" s="250"/>
      <c r="F7" s="20" t="s">
        <v>356</v>
      </c>
    </row>
    <row r="8" spans="1:10" ht="22.5" customHeight="1" x14ac:dyDescent="0.15">
      <c r="A8" s="247" t="s">
        <v>380</v>
      </c>
      <c r="B8" s="247"/>
      <c r="C8" s="203">
        <f>管理者用グラフシート!C6-管理者用グラフシート!C4</f>
        <v>-454</v>
      </c>
      <c r="D8" s="206" t="s">
        <v>381</v>
      </c>
      <c r="F8" s="203">
        <f>管理者用グラフシート!D6-管理者用グラフシート!D4</f>
        <v>-531</v>
      </c>
      <c r="G8" s="206"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49">
        <f>管理者用グラフシート!C12</f>
        <v>177</v>
      </c>
      <c r="G36" s="249"/>
      <c r="H36" s="20" t="s">
        <v>54</v>
      </c>
    </row>
    <row r="37" spans="1:9" ht="22.5" customHeight="1" x14ac:dyDescent="0.15">
      <c r="A37" s="20" t="s">
        <v>66</v>
      </c>
      <c r="F37" s="249">
        <f>管理者用グラフシート!C16</f>
        <v>99</v>
      </c>
      <c r="G37" s="249"/>
      <c r="H37" s="20" t="s">
        <v>54</v>
      </c>
    </row>
    <row r="38" spans="1:9" ht="22.5" customHeight="1" x14ac:dyDescent="0.15">
      <c r="D38" s="251"/>
      <c r="E38" s="251"/>
      <c r="F38" s="35"/>
      <c r="G38" s="34"/>
    </row>
    <row r="39" spans="1:9" ht="22.5" customHeight="1" x14ac:dyDescent="0.15">
      <c r="A39" s="248">
        <f>管理者用グラフシート!B4</f>
        <v>2010</v>
      </c>
      <c r="B39" s="248"/>
      <c r="C39" s="20" t="s">
        <v>228</v>
      </c>
      <c r="E39" s="34"/>
      <c r="F39" s="35"/>
    </row>
    <row r="40" spans="1:9" ht="22.5" customHeight="1" x14ac:dyDescent="0.15">
      <c r="B40" s="20" t="s">
        <v>67</v>
      </c>
      <c r="D40" s="250">
        <f>F36-管理者用グラフシート!C10</f>
        <v>-90</v>
      </c>
      <c r="E40" s="250"/>
      <c r="F40" s="20" t="s">
        <v>60</v>
      </c>
    </row>
    <row r="41" spans="1:9" ht="22.5" customHeight="1" x14ac:dyDescent="0.15">
      <c r="B41" s="20" t="s">
        <v>69</v>
      </c>
      <c r="D41" s="250">
        <f>F37-管理者用グラフシート!C14</f>
        <v>-35</v>
      </c>
      <c r="E41" s="250"/>
      <c r="F41" s="20" t="s">
        <v>70</v>
      </c>
    </row>
    <row r="53" spans="1:13" ht="22.5" customHeight="1" x14ac:dyDescent="0.15">
      <c r="M53" s="72"/>
    </row>
    <row r="62" spans="1:13" ht="22.5" customHeight="1" thickBot="1" x14ac:dyDescent="0.2"/>
    <row r="63" spans="1:13" ht="22.5" customHeight="1" x14ac:dyDescent="0.15">
      <c r="A63" s="242" t="s">
        <v>426</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49">
        <f>管理者用グラフシート!C22</f>
        <v>1634</v>
      </c>
      <c r="D70" s="249"/>
      <c r="E70" s="20" t="s">
        <v>76</v>
      </c>
      <c r="F70" s="37"/>
      <c r="G70" s="254">
        <f>管理者用グラフシート!C32</f>
        <v>0.42</v>
      </c>
      <c r="H70" s="254"/>
      <c r="I70" s="20" t="s">
        <v>77</v>
      </c>
    </row>
    <row r="71" spans="1:9" ht="22.5" customHeight="1" x14ac:dyDescent="0.15">
      <c r="A71" s="20" t="s">
        <v>78</v>
      </c>
      <c r="C71" s="249">
        <f>管理者用グラフシート!C26</f>
        <v>838</v>
      </c>
      <c r="D71" s="249"/>
      <c r="E71" s="20" t="s">
        <v>76</v>
      </c>
      <c r="F71" s="37"/>
      <c r="G71" s="254">
        <f>管理者用グラフシート!C36</f>
        <v>0.22</v>
      </c>
      <c r="H71" s="254"/>
      <c r="I71" s="20" t="s">
        <v>77</v>
      </c>
    </row>
    <row r="72" spans="1:9" ht="22.5" customHeight="1" x14ac:dyDescent="0.15">
      <c r="D72" s="251"/>
      <c r="E72" s="251"/>
      <c r="F72" s="35"/>
      <c r="G72" s="34"/>
    </row>
    <row r="73" spans="1:9" ht="22.5" customHeight="1" x14ac:dyDescent="0.15">
      <c r="A73" s="248">
        <f>管理者用グラフシート!B4</f>
        <v>2010</v>
      </c>
      <c r="B73" s="248"/>
      <c r="C73" s="20" t="s">
        <v>228</v>
      </c>
      <c r="E73" s="34"/>
      <c r="F73" s="35"/>
    </row>
    <row r="74" spans="1:9" ht="22.5" customHeight="1" x14ac:dyDescent="0.15">
      <c r="B74" s="20" t="s">
        <v>81</v>
      </c>
      <c r="D74" s="37"/>
      <c r="E74" s="249"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9ポイント上昇</v>
      </c>
      <c r="F74" s="249"/>
      <c r="G74" s="249"/>
      <c r="H74" s="20" t="s">
        <v>82</v>
      </c>
    </row>
    <row r="75" spans="1:9" ht="22.5" customHeight="1" x14ac:dyDescent="0.15">
      <c r="B75" s="20" t="s">
        <v>83</v>
      </c>
      <c r="D75" s="37"/>
      <c r="E75" s="255"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3ポイント上昇</v>
      </c>
      <c r="F75" s="255"/>
      <c r="G75" s="255"/>
      <c r="H75" s="20" t="s">
        <v>77</v>
      </c>
    </row>
    <row r="95" spans="1:9" ht="22.5" customHeight="1" thickBot="1" x14ac:dyDescent="0.2"/>
    <row r="96" spans="1:9" ht="22.5" customHeight="1" x14ac:dyDescent="0.15">
      <c r="A96" s="97" t="s">
        <v>427</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8">
        <f>管理者用グラフシート!B39</f>
        <v>2010</v>
      </c>
      <c r="B104" s="248"/>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8">
        <f>管理者用グラフシート!B87</f>
        <v>2020</v>
      </c>
      <c r="B134" s="248"/>
      <c r="C134" s="37" t="s">
        <v>326</v>
      </c>
      <c r="D134" s="36"/>
      <c r="F134" s="37"/>
      <c r="G134" s="111"/>
      <c r="H134" s="111"/>
    </row>
    <row r="135" spans="1:8" ht="22.5" customHeight="1" x14ac:dyDescent="0.15">
      <c r="A135" s="248">
        <f>管理者用グラフシート!B4</f>
        <v>2010</v>
      </c>
      <c r="B135" s="248"/>
      <c r="C135" s="20" t="s">
        <v>385</v>
      </c>
      <c r="D135" s="36"/>
      <c r="F135" s="205">
        <f>SUM(管理者用グラフシート!B93:C94)-SUM(管理者用グラフシート!B45:C46)</f>
        <v>-174</v>
      </c>
      <c r="G135" s="207" t="s">
        <v>386</v>
      </c>
      <c r="H135" s="111"/>
    </row>
    <row r="136" spans="1:8" ht="22.5" customHeight="1" x14ac:dyDescent="0.15">
      <c r="A136" s="35" t="s">
        <v>387</v>
      </c>
      <c r="C136" s="205">
        <f>SUM(管理者用グラフシート!B95:C96)-SUM(管理者用グラフシート!B47:C48)</f>
        <v>-114</v>
      </c>
      <c r="D136" s="20" t="s">
        <v>388</v>
      </c>
      <c r="E136" s="34"/>
      <c r="F136" s="205">
        <f>SUM(管理者用グラフシート!B97:C98)-SUM(管理者用グラフシート!B49:C50)</f>
        <v>-107</v>
      </c>
      <c r="G136" s="20" t="s">
        <v>386</v>
      </c>
    </row>
    <row r="137" spans="1:8" ht="18.75" x14ac:dyDescent="0.15">
      <c r="A137" s="20" t="s">
        <v>389</v>
      </c>
      <c r="C137" s="205">
        <f>SUM(管理者用グラフシート!B99:C100)-SUM(管理者用グラフシート!B51:C52)</f>
        <v>-275</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A2:D3"/>
    <mergeCell ref="D7:E7"/>
    <mergeCell ref="A104:B104"/>
    <mergeCell ref="A73:B73"/>
    <mergeCell ref="E2:I3"/>
    <mergeCell ref="A7:B7"/>
    <mergeCell ref="G70:H70"/>
    <mergeCell ref="C71:D71"/>
    <mergeCell ref="G71:H71"/>
    <mergeCell ref="E74:G74"/>
    <mergeCell ref="E75:G75"/>
    <mergeCell ref="D72:E72"/>
    <mergeCell ref="C70:D70"/>
    <mergeCell ref="A6:B6"/>
    <mergeCell ref="E6:F6"/>
    <mergeCell ref="D41:E41"/>
    <mergeCell ref="A8:B8"/>
    <mergeCell ref="A134:B134"/>
    <mergeCell ref="A135:B135"/>
    <mergeCell ref="F36:G36"/>
    <mergeCell ref="F37:G37"/>
    <mergeCell ref="D40:E40"/>
    <mergeCell ref="D38:E38"/>
    <mergeCell ref="A39:B39"/>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60" t="str">
        <f>管理者入力シート!B4</f>
        <v>穂北地区</v>
      </c>
      <c r="B2" s="260"/>
      <c r="C2" s="260"/>
      <c r="D2" s="253" t="s">
        <v>230</v>
      </c>
      <c r="E2" s="253"/>
      <c r="F2" s="253"/>
      <c r="G2" s="253"/>
      <c r="H2" s="253"/>
      <c r="I2" s="253"/>
    </row>
    <row r="3" spans="1:9" ht="27.75" customHeight="1" x14ac:dyDescent="0.15">
      <c r="A3" s="260"/>
      <c r="B3" s="260"/>
      <c r="C3" s="260"/>
      <c r="D3" s="253"/>
      <c r="E3" s="253"/>
      <c r="F3" s="253"/>
      <c r="G3" s="253"/>
      <c r="H3" s="253"/>
      <c r="I3" s="253"/>
    </row>
    <row r="4" spans="1:9" ht="27.75" customHeight="1" x14ac:dyDescent="0.15"/>
    <row r="5" spans="1:9" s="39" customFormat="1" ht="40.5" customHeight="1" x14ac:dyDescent="0.15">
      <c r="A5" s="108" t="s">
        <v>64</v>
      </c>
    </row>
    <row r="6" spans="1:9" ht="22.5" customHeight="1" x14ac:dyDescent="0.15">
      <c r="A6" s="248">
        <f>管理者入力シート!B9</f>
        <v>2030</v>
      </c>
      <c r="B6" s="248"/>
      <c r="C6" s="20" t="s">
        <v>361</v>
      </c>
      <c r="D6" s="249">
        <f>管理者用グラフシート!K8</f>
        <v>2950</v>
      </c>
      <c r="E6" s="249"/>
      <c r="F6" s="20" t="s">
        <v>231</v>
      </c>
      <c r="H6" s="34"/>
      <c r="I6" s="34"/>
    </row>
    <row r="7" spans="1:9" ht="22.5" customHeight="1" x14ac:dyDescent="0.15">
      <c r="A7" s="248">
        <f>管理者入力シート!B5</f>
        <v>2020</v>
      </c>
      <c r="B7" s="248"/>
      <c r="C7" s="195" t="s">
        <v>362</v>
      </c>
      <c r="D7" s="250">
        <f>D6-現況シート!E6</f>
        <v>-932</v>
      </c>
      <c r="E7" s="250"/>
      <c r="F7" s="20" t="s">
        <v>232</v>
      </c>
      <c r="I7" s="34"/>
    </row>
    <row r="8" spans="1:9" ht="22.5" customHeight="1" x14ac:dyDescent="0.15">
      <c r="A8" s="247" t="s">
        <v>397</v>
      </c>
      <c r="B8" s="247"/>
      <c r="C8" s="205">
        <f>管理者用グラフシート!I8-管理者用グラフシート!C6</f>
        <v>-424</v>
      </c>
      <c r="D8" s="206" t="s">
        <v>398</v>
      </c>
      <c r="F8" s="261">
        <f>管理者用グラフシート!J8-管理者用グラフシート!D6</f>
        <v>-508</v>
      </c>
      <c r="G8" s="261"/>
      <c r="H8" s="20" t="s">
        <v>399</v>
      </c>
    </row>
    <row r="10" spans="1:9" ht="22.5" customHeight="1" x14ac:dyDescent="0.15">
      <c r="A10" s="248">
        <f>管理者入力シート!B11</f>
        <v>2040</v>
      </c>
      <c r="B10" s="248"/>
      <c r="C10" s="20" t="s">
        <v>361</v>
      </c>
      <c r="D10" s="249">
        <f>管理者用グラフシート!K10</f>
        <v>2123</v>
      </c>
      <c r="E10" s="249"/>
      <c r="F10" s="20" t="s">
        <v>231</v>
      </c>
      <c r="H10" s="34"/>
    </row>
    <row r="11" spans="1:9" ht="22.5" customHeight="1" x14ac:dyDescent="0.15">
      <c r="A11" s="248">
        <f>管理者入力シート!B5</f>
        <v>2020</v>
      </c>
      <c r="B11" s="248"/>
      <c r="C11" s="195" t="s">
        <v>362</v>
      </c>
      <c r="D11" s="250">
        <f>D10-現況シート!E6</f>
        <v>-1759</v>
      </c>
      <c r="E11" s="250"/>
      <c r="F11" s="20" t="s">
        <v>232</v>
      </c>
      <c r="H11" s="34"/>
    </row>
    <row r="12" spans="1:9" ht="22.5" customHeight="1" x14ac:dyDescent="0.15">
      <c r="A12" s="247" t="s">
        <v>397</v>
      </c>
      <c r="B12" s="247"/>
      <c r="C12" s="205">
        <f>管理者用グラフシート!I10-管理者用グラフシート!C6</f>
        <v>-825</v>
      </c>
      <c r="D12" s="206" t="s">
        <v>398</v>
      </c>
      <c r="F12" s="261">
        <f>管理者用グラフシート!J10-管理者用グラフシート!D6</f>
        <v>-934</v>
      </c>
      <c r="G12" s="261"/>
      <c r="H12" s="20" t="s">
        <v>399</v>
      </c>
    </row>
    <row r="22" spans="7:7" ht="22.5" customHeight="1" x14ac:dyDescent="0.15">
      <c r="G22" s="20">
        <v>15</v>
      </c>
    </row>
    <row r="34" spans="1:9" s="39" customFormat="1" ht="40.5" customHeight="1" x14ac:dyDescent="0.15">
      <c r="A34" s="108" t="s">
        <v>68</v>
      </c>
    </row>
    <row r="35" spans="1:9" ht="22.5" customHeight="1" x14ac:dyDescent="0.15">
      <c r="A35" s="248">
        <f>管理者用グラフシート!H20</f>
        <v>2040</v>
      </c>
      <c r="B35" s="248"/>
      <c r="C35" s="257" t="s">
        <v>363</v>
      </c>
      <c r="D35" s="257"/>
      <c r="F35" s="36"/>
      <c r="G35" s="36"/>
      <c r="H35" s="256"/>
      <c r="I35" s="251"/>
    </row>
    <row r="36" spans="1:9" ht="22.5" customHeight="1" x14ac:dyDescent="0.15">
      <c r="A36" s="20" t="s">
        <v>237</v>
      </c>
      <c r="F36" s="249">
        <f>管理者用グラフシート!I20</f>
        <v>82</v>
      </c>
      <c r="G36" s="249"/>
      <c r="H36" s="82" t="s">
        <v>233</v>
      </c>
      <c r="I36" s="34"/>
    </row>
    <row r="37" spans="1:9" ht="22.5" customHeight="1" x14ac:dyDescent="0.15">
      <c r="A37" s="20" t="s">
        <v>234</v>
      </c>
      <c r="F37" s="249">
        <f>管理者用グラフシート!I28</f>
        <v>44</v>
      </c>
      <c r="G37" s="249"/>
      <c r="H37" s="109" t="s">
        <v>235</v>
      </c>
      <c r="I37" s="86"/>
    </row>
    <row r="38" spans="1:9" ht="22.5" customHeight="1" x14ac:dyDescent="0.15">
      <c r="D38" s="251"/>
      <c r="E38" s="251"/>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50">
        <f>F36-現況シート!F36</f>
        <v>-95</v>
      </c>
      <c r="G40" s="250"/>
      <c r="H40" s="35" t="s">
        <v>60</v>
      </c>
    </row>
    <row r="41" spans="1:9" ht="22.5" customHeight="1" x14ac:dyDescent="0.15">
      <c r="A41" s="20" t="s">
        <v>69</v>
      </c>
      <c r="C41" s="199">
        <f>管理者入力シート!B5</f>
        <v>2020</v>
      </c>
      <c r="D41" s="20" t="s">
        <v>374</v>
      </c>
      <c r="F41" s="250">
        <f>F37-現況シート!F37</f>
        <v>-55</v>
      </c>
      <c r="G41" s="250"/>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8">
        <f>管理者用グラフシート!H38</f>
        <v>2040</v>
      </c>
      <c r="B69" s="248"/>
      <c r="C69" s="257" t="s">
        <v>363</v>
      </c>
      <c r="D69" s="257"/>
      <c r="F69" s="34"/>
      <c r="G69" s="37"/>
      <c r="H69" s="67"/>
      <c r="I69" s="71"/>
    </row>
    <row r="70" spans="1:9" ht="22.5" customHeight="1" x14ac:dyDescent="0.15">
      <c r="A70" s="20" t="s">
        <v>238</v>
      </c>
      <c r="C70" s="249">
        <f>管理者用グラフシート!I38</f>
        <v>1079</v>
      </c>
      <c r="D70" s="249"/>
      <c r="E70" s="82" t="s">
        <v>239</v>
      </c>
      <c r="F70" s="34"/>
      <c r="G70" s="254">
        <f>管理者用グラフシート!I56</f>
        <v>0.51</v>
      </c>
      <c r="H70" s="254"/>
      <c r="I70" s="110" t="s">
        <v>240</v>
      </c>
    </row>
    <row r="71" spans="1:9" ht="22.5" customHeight="1" x14ac:dyDescent="0.15">
      <c r="A71" s="20" t="s">
        <v>241</v>
      </c>
      <c r="C71" s="249">
        <f>管理者用グラフシート!I46</f>
        <v>704</v>
      </c>
      <c r="D71" s="249"/>
      <c r="E71" s="20" t="s">
        <v>239</v>
      </c>
      <c r="G71" s="258">
        <f>管理者用グラフシート!I64</f>
        <v>0.33</v>
      </c>
      <c r="H71" s="251"/>
      <c r="I71" s="20" t="s">
        <v>242</v>
      </c>
    </row>
    <row r="72" spans="1:9" ht="27.75" customHeight="1" x14ac:dyDescent="0.15">
      <c r="C72" s="81"/>
      <c r="D72" s="81"/>
      <c r="G72" s="259" t="s">
        <v>236</v>
      </c>
      <c r="H72" s="259"/>
      <c r="I72" s="259"/>
    </row>
    <row r="73" spans="1:9" ht="22.5" customHeight="1" x14ac:dyDescent="0.15">
      <c r="A73" s="248">
        <f>管理者入力シート!B5</f>
        <v>2020</v>
      </c>
      <c r="B73" s="248"/>
      <c r="C73" s="20" t="s">
        <v>228</v>
      </c>
      <c r="D73" s="34"/>
      <c r="E73" s="34"/>
      <c r="F73" s="35"/>
    </row>
    <row r="74" spans="1:9" ht="22.5" customHeight="1" x14ac:dyDescent="0.15">
      <c r="B74" s="20" t="s">
        <v>81</v>
      </c>
      <c r="D74" s="37"/>
      <c r="E74" s="249"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9ポイント上昇</v>
      </c>
      <c r="F74" s="249"/>
      <c r="G74" s="249"/>
      <c r="H74" s="20" t="s">
        <v>82</v>
      </c>
    </row>
    <row r="75" spans="1:9" ht="22.5" customHeight="1" x14ac:dyDescent="0.15">
      <c r="B75" s="20" t="s">
        <v>83</v>
      </c>
      <c r="D75" s="37"/>
      <c r="E75" s="255"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11ポイント上昇</v>
      </c>
      <c r="F75" s="255"/>
      <c r="G75" s="255"/>
      <c r="H75" s="20" t="s">
        <v>77</v>
      </c>
    </row>
    <row r="101" spans="1:8" s="39" customFormat="1" ht="40.5" customHeight="1" x14ac:dyDescent="0.15">
      <c r="A101" s="108" t="s">
        <v>112</v>
      </c>
    </row>
    <row r="102" spans="1:8" ht="22.5" customHeight="1" x14ac:dyDescent="0.15">
      <c r="A102" s="248">
        <f>管理者用グラフシート!H91</f>
        <v>2030</v>
      </c>
      <c r="B102" s="248"/>
      <c r="C102" s="20" t="s">
        <v>364</v>
      </c>
      <c r="D102" s="196"/>
    </row>
    <row r="103" spans="1:8" ht="27.75" customHeight="1" x14ac:dyDescent="0.15">
      <c r="A103" s="248">
        <f>管理者入力シート!B5</f>
        <v>2020</v>
      </c>
      <c r="B103" s="248"/>
      <c r="C103" s="20" t="s">
        <v>385</v>
      </c>
      <c r="D103" s="36"/>
      <c r="G103" s="205">
        <f>SUM(管理者用グラフシート!H97:I98)-SUM(管理者用グラフシート!B93:C94)</f>
        <v>-51</v>
      </c>
      <c r="H103" s="207" t="s">
        <v>60</v>
      </c>
    </row>
    <row r="104" spans="1:8" ht="22.5" customHeight="1" x14ac:dyDescent="0.15">
      <c r="A104" s="35" t="s">
        <v>387</v>
      </c>
      <c r="C104" s="205">
        <f>SUM(管理者用グラフシート!H99:I100)-SUM(管理者用グラフシート!B95:C96)</f>
        <v>-139</v>
      </c>
      <c r="D104" s="20" t="s">
        <v>423</v>
      </c>
      <c r="E104" s="34"/>
      <c r="G104" s="205">
        <f>SUM(管理者用グラフシート!H101:I102)-SUM(管理者用グラフシート!B97:C98)</f>
        <v>-113</v>
      </c>
      <c r="H104" s="20" t="s">
        <v>60</v>
      </c>
    </row>
    <row r="105" spans="1:8" ht="22.5" customHeight="1" x14ac:dyDescent="0.15">
      <c r="A105" s="20" t="s">
        <v>389</v>
      </c>
      <c r="C105" s="205">
        <f>SUM(管理者用グラフシート!H103:I104)-SUM(管理者用グラフシート!B99:C100)</f>
        <v>-100</v>
      </c>
      <c r="D105" s="20" t="s">
        <v>70</v>
      </c>
      <c r="E105" s="34"/>
      <c r="F105" s="35"/>
    </row>
    <row r="136" spans="1:8" ht="22.5" customHeight="1" x14ac:dyDescent="0.15">
      <c r="A136" s="248">
        <f>管理者用グラフシート!H139</f>
        <v>2040</v>
      </c>
      <c r="B136" s="248"/>
      <c r="C136" s="20" t="s">
        <v>364</v>
      </c>
    </row>
    <row r="137" spans="1:8" ht="22.5" customHeight="1" x14ac:dyDescent="0.15">
      <c r="A137" s="248">
        <f>管理者入力シート!B5</f>
        <v>2020</v>
      </c>
      <c r="B137" s="248"/>
      <c r="C137" s="20" t="s">
        <v>385</v>
      </c>
      <c r="D137" s="36"/>
      <c r="G137" s="205">
        <f>SUM(管理者用グラフシート!H145:I146)-SUM(管理者用グラフシート!B93:C94)</f>
        <v>-100</v>
      </c>
      <c r="H137" s="207" t="s">
        <v>60</v>
      </c>
    </row>
    <row r="138" spans="1:8" ht="22.5" customHeight="1" x14ac:dyDescent="0.15">
      <c r="A138" s="35" t="s">
        <v>387</v>
      </c>
      <c r="C138" s="205">
        <f>SUM(管理者用グラフシート!H147:I148)-SUM(管理者用グラフシート!B95:C96)</f>
        <v>-179</v>
      </c>
      <c r="D138" s="20" t="s">
        <v>423</v>
      </c>
      <c r="E138" s="34"/>
      <c r="G138" s="205">
        <f>SUM(管理者用グラフシート!H149:I150)-SUM(管理者用グラフシート!B97:C98)</f>
        <v>-254</v>
      </c>
      <c r="H138" s="20" t="s">
        <v>60</v>
      </c>
    </row>
    <row r="139" spans="1:8" ht="22.5" customHeight="1" x14ac:dyDescent="0.15">
      <c r="A139" s="20" t="s">
        <v>389</v>
      </c>
      <c r="C139" s="205">
        <f>SUM(管理者用グラフシート!H151:I152)-SUM(管理者用グラフシート!B99:C100)</f>
        <v>-203</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G70:H70"/>
    <mergeCell ref="F36:G36"/>
    <mergeCell ref="F37:G37"/>
    <mergeCell ref="F40:G40"/>
    <mergeCell ref="D2:I3"/>
    <mergeCell ref="F12:G12"/>
    <mergeCell ref="H35:I35"/>
    <mergeCell ref="F8:G8"/>
    <mergeCell ref="A2:C3"/>
    <mergeCell ref="D38:E38"/>
    <mergeCell ref="A6:B6"/>
    <mergeCell ref="A10:B10"/>
    <mergeCell ref="A7:B7"/>
    <mergeCell ref="D6:E6"/>
    <mergeCell ref="D10:E10"/>
    <mergeCell ref="D7:E7"/>
    <mergeCell ref="A12:B12"/>
    <mergeCell ref="A8:B8"/>
    <mergeCell ref="A11:B11"/>
    <mergeCell ref="D11:E11"/>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60" t="str">
        <f>管理者入力シート!B4</f>
        <v>穂北地区</v>
      </c>
      <c r="B2" s="260"/>
      <c r="C2" s="260"/>
      <c r="D2" s="253" t="s">
        <v>249</v>
      </c>
      <c r="E2" s="253"/>
      <c r="F2" s="253"/>
      <c r="G2" s="253"/>
      <c r="H2" s="253"/>
      <c r="I2" s="253"/>
    </row>
    <row r="3" spans="1:9" ht="31.5" customHeight="1" x14ac:dyDescent="0.15">
      <c r="A3" s="260"/>
      <c r="B3" s="260"/>
      <c r="C3" s="260"/>
      <c r="D3" s="253"/>
      <c r="E3" s="253"/>
      <c r="F3" s="253"/>
      <c r="G3" s="253"/>
      <c r="H3" s="253"/>
      <c r="I3" s="253"/>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76" t="s">
        <v>254</v>
      </c>
      <c r="B15" s="276"/>
      <c r="C15" s="276"/>
      <c r="D15" s="277" t="s">
        <v>258</v>
      </c>
      <c r="E15" s="278"/>
      <c r="F15" s="273" t="s">
        <v>257</v>
      </c>
      <c r="G15" s="274"/>
      <c r="H15" s="275"/>
    </row>
    <row r="16" spans="1:9" ht="17.25" customHeight="1" x14ac:dyDescent="0.15">
      <c r="A16" s="124" t="s">
        <v>254</v>
      </c>
      <c r="B16" s="124" t="s">
        <v>21</v>
      </c>
      <c r="C16" s="124" t="s">
        <v>22</v>
      </c>
      <c r="D16" s="277"/>
      <c r="E16" s="278"/>
      <c r="F16" s="126"/>
      <c r="G16" s="127" t="s">
        <v>21</v>
      </c>
      <c r="H16" s="128" t="s">
        <v>22</v>
      </c>
    </row>
    <row r="17" spans="1:9" ht="18.75" customHeight="1" x14ac:dyDescent="0.15">
      <c r="A17" s="125" t="s">
        <v>0</v>
      </c>
      <c r="B17" s="116">
        <v>1</v>
      </c>
      <c r="C17" s="116">
        <v>1</v>
      </c>
      <c r="D17" s="277"/>
      <c r="E17" s="278"/>
      <c r="F17" s="119" t="s">
        <v>0</v>
      </c>
      <c r="G17" s="116">
        <v>1</v>
      </c>
      <c r="H17" s="118">
        <v>1</v>
      </c>
    </row>
    <row r="18" spans="1:9" ht="18.75" customHeight="1" x14ac:dyDescent="0.15">
      <c r="A18" s="125" t="s">
        <v>1</v>
      </c>
      <c r="B18" s="116"/>
      <c r="C18" s="116"/>
      <c r="D18" s="277"/>
      <c r="E18" s="278"/>
      <c r="F18" s="119" t="s">
        <v>1</v>
      </c>
      <c r="G18" s="116"/>
      <c r="H18" s="118"/>
    </row>
    <row r="19" spans="1:9" ht="18.75" customHeight="1" x14ac:dyDescent="0.15">
      <c r="A19" s="125" t="s">
        <v>2</v>
      </c>
      <c r="B19" s="73">
        <v>1</v>
      </c>
      <c r="C19" s="73">
        <v>1</v>
      </c>
      <c r="D19" s="277"/>
      <c r="E19" s="278"/>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2"/>
      <c r="B30" s="233"/>
      <c r="C30" s="233"/>
      <c r="F30" s="232"/>
      <c r="G30" s="220"/>
      <c r="H30" s="220"/>
      <c r="I30" s="114"/>
    </row>
    <row r="31" spans="1:9" s="113" customFormat="1" ht="24" customHeight="1" x14ac:dyDescent="0.15">
      <c r="A31" s="168" t="s">
        <v>328</v>
      </c>
      <c r="B31" s="263">
        <f>管理者入力シート!B5</f>
        <v>2020</v>
      </c>
      <c r="C31" s="263"/>
      <c r="D31" s="83" t="s">
        <v>412</v>
      </c>
      <c r="E31" s="131"/>
      <c r="F31" s="131"/>
      <c r="G31" s="131"/>
      <c r="H31" s="131"/>
      <c r="I31" s="236"/>
    </row>
    <row r="32" spans="1:9" s="131" customFormat="1" ht="17.25" customHeight="1" x14ac:dyDescent="0.15">
      <c r="A32" s="159" t="s">
        <v>409</v>
      </c>
      <c r="B32" s="262">
        <f>管理者入力シート!B5</f>
        <v>2020</v>
      </c>
      <c r="C32" s="262"/>
      <c r="D32" s="212" t="s">
        <v>425</v>
      </c>
      <c r="E32" s="212"/>
      <c r="F32" s="212"/>
      <c r="G32" s="212"/>
      <c r="H32" s="212"/>
      <c r="I32" s="213"/>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8"/>
      <c r="H34" s="218"/>
      <c r="I34" s="219"/>
    </row>
    <row r="35" spans="1:9" s="130" customFormat="1" ht="17.25" customHeight="1" thickTop="1" x14ac:dyDescent="0.15">
      <c r="A35" s="165"/>
      <c r="B35" s="270" t="s">
        <v>257</v>
      </c>
      <c r="C35" s="271"/>
      <c r="D35" s="272"/>
      <c r="F35" s="162"/>
      <c r="G35" s="239"/>
      <c r="H35" s="264" t="s">
        <v>410</v>
      </c>
      <c r="I35" s="265"/>
    </row>
    <row r="36" spans="1:9" s="132" customFormat="1" ht="17.25" customHeight="1" x14ac:dyDescent="0.15">
      <c r="A36" s="160"/>
      <c r="B36" s="214"/>
      <c r="C36" s="127" t="s">
        <v>21</v>
      </c>
      <c r="D36" s="215" t="s">
        <v>22</v>
      </c>
      <c r="F36" s="162"/>
      <c r="G36" s="237">
        <f>管理者入力シート!B8</f>
        <v>2025</v>
      </c>
      <c r="H36" s="266">
        <f>管理者用人口入力シート!EU22</f>
        <v>3699</v>
      </c>
      <c r="I36" s="267"/>
    </row>
    <row r="37" spans="1:9" s="130" customFormat="1" ht="17.25" customHeight="1" x14ac:dyDescent="0.15">
      <c r="A37" s="165"/>
      <c r="B37" s="225" t="s">
        <v>5</v>
      </c>
      <c r="C37" s="226">
        <f>管理者用人口入力シート!DX1</f>
        <v>50</v>
      </c>
      <c r="D37" s="227">
        <f>C37</f>
        <v>50</v>
      </c>
      <c r="F37" s="162"/>
      <c r="G37" s="237">
        <f>管理者入力シート!B9</f>
        <v>2030</v>
      </c>
      <c r="H37" s="266">
        <f>管理者用人口入力シート!EU25</f>
        <v>3644</v>
      </c>
      <c r="I37" s="267"/>
    </row>
    <row r="38" spans="1:9" s="132" customFormat="1" ht="17.25" customHeight="1" x14ac:dyDescent="0.15">
      <c r="A38" s="160"/>
      <c r="B38" s="225" t="s">
        <v>6</v>
      </c>
      <c r="C38" s="226">
        <f>C37</f>
        <v>50</v>
      </c>
      <c r="D38" s="227">
        <f>C37</f>
        <v>50</v>
      </c>
      <c r="F38" s="162"/>
      <c r="G38" s="237">
        <f>管理者入力シート!B10</f>
        <v>2035</v>
      </c>
      <c r="H38" s="266">
        <f>管理者用人口入力シート!EU28</f>
        <v>3633</v>
      </c>
      <c r="I38" s="267"/>
    </row>
    <row r="39" spans="1:9" ht="17.25" customHeight="1" thickBot="1" x14ac:dyDescent="0.2">
      <c r="A39" s="166"/>
      <c r="B39" s="228" t="s">
        <v>7</v>
      </c>
      <c r="C39" s="229">
        <f>C37</f>
        <v>50</v>
      </c>
      <c r="D39" s="230">
        <f>C37</f>
        <v>50</v>
      </c>
      <c r="F39" s="162"/>
      <c r="G39" s="238">
        <f>管理者入力シート!B11</f>
        <v>2040</v>
      </c>
      <c r="H39" s="268">
        <f>管理者用人口入力シート!EU31</f>
        <v>3646</v>
      </c>
      <c r="I39" s="269"/>
    </row>
    <row r="40" spans="1:9" s="132" customFormat="1" ht="17.25" customHeight="1" thickTop="1" x14ac:dyDescent="0.15">
      <c r="A40" s="160"/>
      <c r="F40" s="83"/>
      <c r="G40" s="231"/>
      <c r="H40" s="216"/>
      <c r="I40" s="217"/>
    </row>
    <row r="41" spans="1:9" ht="17.25" customHeight="1" x14ac:dyDescent="0.15">
      <c r="A41" s="221"/>
      <c r="B41" s="234" t="s">
        <v>411</v>
      </c>
      <c r="C41" s="167"/>
      <c r="D41" s="222"/>
      <c r="E41" s="222"/>
      <c r="F41" s="223"/>
      <c r="G41" s="223"/>
      <c r="H41" s="223"/>
      <c r="I41" s="224"/>
    </row>
    <row r="42" spans="1:9" s="113" customFormat="1" ht="40.5" customHeight="1" x14ac:dyDescent="0.15">
      <c r="A42" s="108" t="s">
        <v>64</v>
      </c>
      <c r="I42" s="114"/>
    </row>
    <row r="43" spans="1:9" ht="22.5" customHeight="1" x14ac:dyDescent="0.15">
      <c r="A43" s="248">
        <f>管理者入力シート!B9</f>
        <v>2030</v>
      </c>
      <c r="B43" s="248"/>
      <c r="C43" s="20" t="s">
        <v>417</v>
      </c>
      <c r="D43" s="249">
        <f>管理者用グラフシート!U8</f>
        <v>2969</v>
      </c>
      <c r="E43" s="249"/>
      <c r="F43" s="20" t="s">
        <v>231</v>
      </c>
      <c r="H43" s="34"/>
      <c r="I43" s="34"/>
    </row>
    <row r="44" spans="1:9" ht="22.5" customHeight="1" x14ac:dyDescent="0.15">
      <c r="A44" s="248">
        <f>管理者入力シート!B11</f>
        <v>2040</v>
      </c>
      <c r="B44" s="248"/>
      <c r="C44" s="20" t="s">
        <v>417</v>
      </c>
      <c r="D44" s="249">
        <f>管理者用グラフシート!U10</f>
        <v>2162</v>
      </c>
      <c r="E44" s="249"/>
      <c r="F44" s="20" t="s">
        <v>231</v>
      </c>
      <c r="H44" s="34"/>
      <c r="I44" s="34"/>
    </row>
    <row r="45" spans="1:9" ht="22.5" customHeight="1" x14ac:dyDescent="0.15">
      <c r="A45" s="20" t="s">
        <v>121</v>
      </c>
    </row>
    <row r="46" spans="1:9" ht="22.5" customHeight="1" x14ac:dyDescent="0.15">
      <c r="A46" s="248">
        <f>管理者入力シート!B9</f>
        <v>2030</v>
      </c>
      <c r="B46" s="248"/>
      <c r="C46" s="20" t="s">
        <v>418</v>
      </c>
      <c r="D46" s="256">
        <f>D43-将来予測シート①!D6</f>
        <v>19</v>
      </c>
      <c r="E46" s="256"/>
      <c r="F46" s="20" t="s">
        <v>122</v>
      </c>
    </row>
    <row r="47" spans="1:9" ht="22.5" customHeight="1" x14ac:dyDescent="0.15">
      <c r="A47" s="248">
        <f>管理者入力シート!B11</f>
        <v>2040</v>
      </c>
      <c r="B47" s="248"/>
      <c r="C47" s="20" t="s">
        <v>418</v>
      </c>
      <c r="D47" s="256">
        <f>D44-将来予測シート①!D10</f>
        <v>39</v>
      </c>
      <c r="E47" s="256"/>
      <c r="F47" s="20" t="s">
        <v>123</v>
      </c>
    </row>
    <row r="76" spans="1:9" s="39" customFormat="1" ht="40.5" customHeight="1" x14ac:dyDescent="0.15">
      <c r="A76" s="108" t="s">
        <v>68</v>
      </c>
      <c r="I76" s="115"/>
    </row>
    <row r="77" spans="1:9" ht="22.5" customHeight="1" x14ac:dyDescent="0.15">
      <c r="A77" s="248">
        <f>管理者用グラフシート!O20</f>
        <v>2040</v>
      </c>
      <c r="B77" s="248"/>
      <c r="C77" s="20" t="s">
        <v>263</v>
      </c>
      <c r="F77" s="36"/>
      <c r="G77" s="36"/>
      <c r="H77" s="67"/>
      <c r="I77" s="34"/>
    </row>
    <row r="78" spans="1:9" ht="22.5" customHeight="1" x14ac:dyDescent="0.15">
      <c r="A78" s="20" t="s">
        <v>237</v>
      </c>
      <c r="E78" s="34"/>
      <c r="F78" s="249">
        <f>管理者用グラフシート!Q20</f>
        <v>88</v>
      </c>
      <c r="G78" s="249"/>
      <c r="H78" s="82" t="s">
        <v>264</v>
      </c>
      <c r="I78" s="34"/>
    </row>
    <row r="79" spans="1:9" ht="22.5" customHeight="1" x14ac:dyDescent="0.15">
      <c r="A79" s="20" t="s">
        <v>234</v>
      </c>
      <c r="F79" s="249">
        <f>管理者用グラフシート!Q28</f>
        <v>47</v>
      </c>
      <c r="G79" s="249"/>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50">
        <f>F78-将来予測シート①!F36</f>
        <v>6</v>
      </c>
      <c r="D82" s="250"/>
      <c r="E82" s="20" t="s">
        <v>60</v>
      </c>
    </row>
    <row r="83" spans="1:13" ht="22.5" customHeight="1" x14ac:dyDescent="0.15">
      <c r="A83" s="20" t="s">
        <v>69</v>
      </c>
      <c r="C83" s="250">
        <f>F79-将来予測シート①!F37</f>
        <v>3</v>
      </c>
      <c r="D83" s="250"/>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8">
        <f>管理者用グラフシート!O38</f>
        <v>2040</v>
      </c>
      <c r="B111" s="248"/>
      <c r="C111" s="20" t="s">
        <v>371</v>
      </c>
      <c r="F111" s="36"/>
      <c r="G111" s="36"/>
      <c r="H111" s="67"/>
      <c r="I111" s="34"/>
    </row>
    <row r="112" spans="1:9" ht="22.5" customHeight="1" x14ac:dyDescent="0.15">
      <c r="A112" s="20" t="s">
        <v>269</v>
      </c>
      <c r="C112" s="249">
        <f>管理者用グラフシート!Q38</f>
        <v>1079</v>
      </c>
      <c r="D112" s="249"/>
      <c r="E112" s="20" t="s">
        <v>270</v>
      </c>
      <c r="F112" s="36"/>
      <c r="G112" s="111">
        <f>管理者用グラフシート!Q56</f>
        <v>0.5</v>
      </c>
      <c r="H112" s="82" t="s">
        <v>271</v>
      </c>
      <c r="I112" s="34"/>
    </row>
    <row r="113" spans="1:9" ht="22.5" customHeight="1" x14ac:dyDescent="0.15">
      <c r="A113" s="20" t="s">
        <v>268</v>
      </c>
      <c r="C113" s="249">
        <f>管理者用グラフシート!Q46</f>
        <v>704</v>
      </c>
      <c r="D113" s="249"/>
      <c r="E113" s="82" t="s">
        <v>270</v>
      </c>
      <c r="F113" s="34"/>
      <c r="G113" s="111">
        <f>管理者用グラフシート!Q64</f>
        <v>0.33</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49"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ほぼ横ばい</v>
      </c>
      <c r="F116" s="249"/>
      <c r="G116" s="249"/>
      <c r="H116" s="20" t="s">
        <v>82</v>
      </c>
    </row>
    <row r="117" spans="1:9" ht="22.5" customHeight="1" x14ac:dyDescent="0.15">
      <c r="B117" s="20" t="s">
        <v>83</v>
      </c>
      <c r="D117" s="37"/>
      <c r="E117" s="255"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5"/>
      <c r="G117" s="255"/>
      <c r="H117" s="20" t="s">
        <v>77</v>
      </c>
    </row>
    <row r="143" spans="1:9" s="113" customFormat="1" ht="46.5" customHeight="1" x14ac:dyDescent="0.15">
      <c r="A143" s="108" t="s">
        <v>112</v>
      </c>
      <c r="I143" s="114"/>
    </row>
    <row r="144" spans="1:9" ht="22.5" customHeight="1" x14ac:dyDescent="0.15">
      <c r="A144" s="248">
        <f>管理者用グラフシート!O91</f>
        <v>2030</v>
      </c>
      <c r="B144" s="248"/>
      <c r="C144" s="20" t="s">
        <v>364</v>
      </c>
    </row>
    <row r="177" spans="1:9" ht="22.5" customHeight="1" x14ac:dyDescent="0.15">
      <c r="A177" s="248">
        <f>管理者用グラフシート!O139</f>
        <v>2040</v>
      </c>
      <c r="B177" s="248"/>
      <c r="C177" s="20" t="s">
        <v>364</v>
      </c>
    </row>
    <row r="178" spans="1:9" ht="22.5" customHeight="1" x14ac:dyDescent="0.15">
      <c r="E178" s="259"/>
      <c r="F178" s="259"/>
      <c r="G178" s="259"/>
      <c r="H178" s="259"/>
      <c r="I178" s="259"/>
    </row>
    <row r="210" spans="1:9" ht="22.5" customHeight="1" x14ac:dyDescent="0.15">
      <c r="A210" s="20" t="s">
        <v>274</v>
      </c>
      <c r="B210" s="248">
        <f>管理者用グラフシート!O212</f>
        <v>2030</v>
      </c>
      <c r="C210" s="248"/>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8">
        <f>管理者用グラフシート!O236</f>
        <v>2040</v>
      </c>
      <c r="C245" s="248"/>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436</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A2:C3"/>
    <mergeCell ref="D2:I3"/>
    <mergeCell ref="F15:H15"/>
    <mergeCell ref="A15:C15"/>
    <mergeCell ref="D15:E19"/>
    <mergeCell ref="A43:B43"/>
    <mergeCell ref="A44:B44"/>
    <mergeCell ref="B245:C245"/>
    <mergeCell ref="A177:B177"/>
    <mergeCell ref="D43:E43"/>
    <mergeCell ref="D44:E44"/>
    <mergeCell ref="D46:E46"/>
    <mergeCell ref="A77:B77"/>
    <mergeCell ref="D47:E47"/>
    <mergeCell ref="A46:B46"/>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B32:C32"/>
    <mergeCell ref="B31:C31"/>
    <mergeCell ref="H35:I35"/>
    <mergeCell ref="H36:I36"/>
    <mergeCell ref="H37:I37"/>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81" t="str">
        <f>管理者入力シート!B4</f>
        <v>穂北地区</v>
      </c>
      <c r="B1" s="281"/>
      <c r="C1" s="281"/>
      <c r="D1" s="253" t="s">
        <v>278</v>
      </c>
      <c r="E1" s="253"/>
      <c r="F1" s="253"/>
      <c r="G1" s="253"/>
      <c r="H1" s="253"/>
    </row>
    <row r="2" spans="1:8" ht="22.5" customHeight="1" x14ac:dyDescent="0.15">
      <c r="A2" s="281"/>
      <c r="B2" s="281"/>
      <c r="C2" s="281"/>
      <c r="D2" s="253"/>
      <c r="E2" s="253"/>
      <c r="F2" s="253"/>
      <c r="G2" s="253"/>
      <c r="H2" s="253"/>
    </row>
    <row r="3" spans="1:8" ht="22.5" customHeight="1" x14ac:dyDescent="0.15">
      <c r="A3" s="20" t="s">
        <v>279</v>
      </c>
    </row>
    <row r="5" spans="1:8" s="113" customFormat="1" ht="40.5" customHeight="1" x14ac:dyDescent="0.15">
      <c r="A5" s="108" t="s">
        <v>280</v>
      </c>
    </row>
    <row r="6" spans="1:8" ht="22.5" customHeight="1" x14ac:dyDescent="0.15">
      <c r="A6" s="248">
        <f>管理者用グラフシート!B6</f>
        <v>2020</v>
      </c>
      <c r="B6" s="248"/>
      <c r="C6" s="20" t="s">
        <v>419</v>
      </c>
    </row>
    <row r="7" spans="1:8" ht="22.5" customHeight="1" x14ac:dyDescent="0.15">
      <c r="A7" s="20" t="s">
        <v>281</v>
      </c>
      <c r="F7" s="279">
        <f>管理者用地域特徴シート!H5</f>
        <v>0.66353046594982079</v>
      </c>
      <c r="G7" s="279"/>
      <c r="H7" s="20" t="s">
        <v>282</v>
      </c>
    </row>
    <row r="8" spans="1:8" ht="22.5" customHeight="1" x14ac:dyDescent="0.15">
      <c r="A8" s="34" t="str">
        <f>管理者入力シート!B3</f>
        <v>西都市</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83" t="str">
        <f>地域特徴シート!A1</f>
        <v>穂北地区</v>
      </c>
      <c r="B11" s="283"/>
      <c r="C11" s="256">
        <f>管理者用地域特徴シート!D5</f>
        <v>1562.4</v>
      </c>
      <c r="D11" s="251"/>
      <c r="E11" s="20" t="s">
        <v>413</v>
      </c>
    </row>
    <row r="12" spans="1:8" ht="22.5" customHeight="1" x14ac:dyDescent="0.15">
      <c r="A12" s="251" t="str">
        <f>A8</f>
        <v>西都市</v>
      </c>
      <c r="B12" s="251"/>
      <c r="C12" s="256">
        <f>管理者用地域特徴シート!D4</f>
        <v>11744</v>
      </c>
      <c r="D12" s="251"/>
      <c r="E12" s="20" t="s">
        <v>413</v>
      </c>
    </row>
    <row r="13" spans="1:8" ht="22.5" customHeight="1" x14ac:dyDescent="0.15">
      <c r="A13" s="251" t="s">
        <v>414</v>
      </c>
      <c r="B13" s="251"/>
      <c r="C13" s="256">
        <f>管理者用地域特徴シート!D3</f>
        <v>468575.00000000006</v>
      </c>
      <c r="D13" s="251"/>
      <c r="E13" s="20" t="s">
        <v>416</v>
      </c>
    </row>
    <row r="23" spans="1:8" ht="22.5" customHeight="1" x14ac:dyDescent="0.15">
      <c r="A23" s="20" t="s">
        <v>285</v>
      </c>
      <c r="G23" s="240">
        <f>管理者用地域特徴シート!J5</f>
        <v>0.20263696876600101</v>
      </c>
      <c r="H23" s="35" t="s">
        <v>286</v>
      </c>
    </row>
    <row r="24" spans="1:8" ht="22.5" customHeight="1" x14ac:dyDescent="0.15">
      <c r="A24" s="34" t="str">
        <f>管理者入力シート!B3</f>
        <v>西都市</v>
      </c>
      <c r="B24" s="20" t="s">
        <v>293</v>
      </c>
      <c r="D24" s="152" t="str">
        <f>IF(管理者用地域特徴シート!J5-管理者用地域特徴シート!J4&gt;0.01,"高く、",IF(管理者用地域特徴シート!J5-管理者用地域特徴シート!J4&lt;-0.01,"低く、","同程度で、"))</f>
        <v>高く、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48">
        <f>管理者用グラフシート!B36</f>
        <v>2020</v>
      </c>
      <c r="B36" s="248"/>
      <c r="C36" s="20" t="s">
        <v>420</v>
      </c>
    </row>
    <row r="37" spans="1:8" ht="22.5" customHeight="1" x14ac:dyDescent="0.15">
      <c r="A37" s="20" t="s">
        <v>287</v>
      </c>
      <c r="F37" s="279">
        <f>管理者用地域特徴シート!P5</f>
        <v>0.19646309711015439</v>
      </c>
      <c r="G37" s="279"/>
      <c r="H37" s="20" t="s">
        <v>286</v>
      </c>
    </row>
    <row r="38" spans="1:8" ht="22.5" customHeight="1" x14ac:dyDescent="0.15">
      <c r="A38" s="34" t="str">
        <f>管理者入力シート!B3</f>
        <v>西都市</v>
      </c>
      <c r="B38" s="20" t="s">
        <v>293</v>
      </c>
      <c r="D38" s="152"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34" t="str">
        <f>管理者入力シート!B3</f>
        <v>西都市</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2">
        <f>管理者用地域特徴シート!W5</f>
        <v>464</v>
      </c>
      <c r="F70" s="282"/>
      <c r="G70" s="20" t="s">
        <v>290</v>
      </c>
    </row>
    <row r="71" spans="1:8" ht="22.5" customHeight="1" x14ac:dyDescent="0.15">
      <c r="A71" s="20" t="s">
        <v>295</v>
      </c>
      <c r="F71" s="279">
        <f>管理者用地域特徴シート!AK5</f>
        <v>0.2670258620689655</v>
      </c>
      <c r="G71" s="279"/>
      <c r="H71" s="20" t="s">
        <v>271</v>
      </c>
    </row>
    <row r="72" spans="1:8" ht="22.5" customHeight="1" x14ac:dyDescent="0.15">
      <c r="A72" s="20" t="s">
        <v>296</v>
      </c>
      <c r="F72" s="279">
        <f>管理者用地域特徴シート!AL5</f>
        <v>0.14267241379310344</v>
      </c>
      <c r="G72" s="279"/>
      <c r="H72" s="20" t="s">
        <v>297</v>
      </c>
    </row>
    <row r="73" spans="1:8" ht="22.5" customHeight="1" x14ac:dyDescent="0.15">
      <c r="A73" s="20" t="s">
        <v>298</v>
      </c>
      <c r="E73" s="279"/>
      <c r="F73" s="279"/>
    </row>
    <row r="74" spans="1:8" ht="22.5" customHeight="1" x14ac:dyDescent="0.15">
      <c r="A74" s="20" t="s">
        <v>339</v>
      </c>
      <c r="C74" s="177">
        <f>管理者用地域特徴シート!AN5</f>
        <v>0.43556034482758621</v>
      </c>
      <c r="D74" s="156" t="s">
        <v>299</v>
      </c>
      <c r="E74" s="177">
        <f>管理者用地域特徴シート!AO5</f>
        <v>0.5644396551724139</v>
      </c>
      <c r="F74" s="20" t="s">
        <v>291</v>
      </c>
    </row>
    <row r="76" spans="1:8" ht="22.5" customHeight="1" x14ac:dyDescent="0.15">
      <c r="A76" s="34" t="str">
        <f>管理者入力シート!B3</f>
        <v>西都市</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女性の転入者割合が高い地域です。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女性の転入者割合が高い地域です。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8">
        <f>管理者入力シート!B5</f>
        <v>2020</v>
      </c>
      <c r="B104" s="248"/>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8">
        <f>管理者入力シート!B5</f>
        <v>2020</v>
      </c>
      <c r="B138" s="248"/>
      <c r="C138" s="20" t="s">
        <v>422</v>
      </c>
    </row>
    <row r="139" spans="1:8" ht="22.5" customHeight="1" x14ac:dyDescent="0.15">
      <c r="A139" s="20" t="s">
        <v>315</v>
      </c>
      <c r="C139" s="279">
        <f>管理者用地域特徴シート!CK5</f>
        <v>0.71472876366694704</v>
      </c>
      <c r="D139" s="279"/>
      <c r="E139" s="20" t="s">
        <v>316</v>
      </c>
      <c r="F139" s="157" t="str">
        <f>管理者入力シート!B3</f>
        <v>西都市</v>
      </c>
      <c r="G139" s="158" t="s">
        <v>317</v>
      </c>
    </row>
    <row r="140" spans="1:8" ht="22.5" customHeight="1" x14ac:dyDescent="0.15">
      <c r="A140" s="20" t="s">
        <v>318</v>
      </c>
    </row>
    <row r="141" spans="1:8" ht="22.5" customHeight="1" x14ac:dyDescent="0.15">
      <c r="C141" s="279">
        <f>管理者用地域特徴シート!CN5</f>
        <v>0.48908296943231439</v>
      </c>
      <c r="D141" s="279"/>
      <c r="E141" s="20" t="s">
        <v>316</v>
      </c>
      <c r="F141" s="157" t="str">
        <f>管理者入力シート!B3</f>
        <v>西都市</v>
      </c>
      <c r="G141" s="158" t="s">
        <v>317</v>
      </c>
    </row>
    <row r="142" spans="1:8" ht="22.5" customHeight="1" x14ac:dyDescent="0.15">
      <c r="A142" s="280" t="s">
        <v>319</v>
      </c>
      <c r="B142" s="280"/>
      <c r="C142" s="280"/>
      <c r="D142" s="280"/>
      <c r="E142" s="280"/>
      <c r="F142" s="280"/>
      <c r="G142" s="280"/>
      <c r="H142" s="280"/>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 ref="A138:B138"/>
    <mergeCell ref="C139:D139"/>
    <mergeCell ref="C141:D141"/>
    <mergeCell ref="A142:H142"/>
    <mergeCell ref="A104:B104"/>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activeCell="B1" sqref="B1:B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435</v>
      </c>
    </row>
    <row r="3" spans="1:3" x14ac:dyDescent="0.15">
      <c r="A3" s="202" t="s">
        <v>292</v>
      </c>
      <c r="B3" s="32" t="str">
        <f>管理者用地域特徴シート!B5</f>
        <v>西都市</v>
      </c>
    </row>
    <row r="4" spans="1:3" x14ac:dyDescent="0.15">
      <c r="A4" s="153" t="s">
        <v>24</v>
      </c>
      <c r="B4" s="154" t="str">
        <f>管理者用地域特徴シート!C5</f>
        <v>穂北地区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activeCell="B1" sqref="B1:B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45208_3</v>
      </c>
      <c r="B1" s="24" t="s">
        <v>44</v>
      </c>
      <c r="C1" s="25"/>
      <c r="D1" s="294" t="s">
        <v>0</v>
      </c>
      <c r="E1" s="294" t="s">
        <v>1</v>
      </c>
      <c r="F1" s="294" t="s">
        <v>2</v>
      </c>
      <c r="G1" s="294" t="s">
        <v>3</v>
      </c>
      <c r="H1" s="294" t="s">
        <v>4</v>
      </c>
      <c r="I1" s="294" t="s">
        <v>5</v>
      </c>
      <c r="J1" s="294" t="s">
        <v>6</v>
      </c>
      <c r="K1" s="294" t="s">
        <v>7</v>
      </c>
      <c r="L1" s="294" t="s">
        <v>8</v>
      </c>
      <c r="M1" s="294" t="s">
        <v>9</v>
      </c>
      <c r="N1" s="294" t="s">
        <v>10</v>
      </c>
      <c r="O1" s="294" t="s">
        <v>11</v>
      </c>
      <c r="P1" s="294" t="s">
        <v>12</v>
      </c>
      <c r="Q1" s="294" t="s">
        <v>13</v>
      </c>
      <c r="R1" s="294" t="s">
        <v>14</v>
      </c>
      <c r="S1" s="294" t="s">
        <v>15</v>
      </c>
      <c r="T1" s="294" t="s">
        <v>16</v>
      </c>
      <c r="U1" s="294" t="s">
        <v>17</v>
      </c>
      <c r="V1" s="294" t="s">
        <v>18</v>
      </c>
      <c r="W1" s="294" t="s">
        <v>19</v>
      </c>
      <c r="X1" s="294" t="s">
        <v>20</v>
      </c>
      <c r="Y1" s="294" t="s">
        <v>23</v>
      </c>
      <c r="Z1" s="295" t="s">
        <v>50</v>
      </c>
      <c r="AA1" s="295" t="s">
        <v>51</v>
      </c>
      <c r="AB1" s="298" t="s">
        <v>79</v>
      </c>
      <c r="AC1" s="298" t="s">
        <v>80</v>
      </c>
      <c r="AD1" s="295" t="s">
        <v>48</v>
      </c>
      <c r="AE1" s="295" t="s">
        <v>49</v>
      </c>
      <c r="AF1" s="295" t="s">
        <v>97</v>
      </c>
      <c r="AH1" s="7"/>
      <c r="AI1" s="42" t="s">
        <v>25</v>
      </c>
      <c r="AJ1" s="40" t="s">
        <v>90</v>
      </c>
      <c r="AK1" s="41"/>
      <c r="AL1" s="297" t="s">
        <v>89</v>
      </c>
      <c r="AM1" s="296" t="s">
        <v>27</v>
      </c>
      <c r="AN1" s="296" t="s">
        <v>28</v>
      </c>
      <c r="AO1" s="296" t="s">
        <v>26</v>
      </c>
      <c r="AP1" s="296" t="s">
        <v>29</v>
      </c>
      <c r="AQ1" s="296" t="s">
        <v>30</v>
      </c>
      <c r="AR1" s="296" t="s">
        <v>31</v>
      </c>
      <c r="AS1" s="296" t="s">
        <v>32</v>
      </c>
      <c r="AT1" s="296" t="s">
        <v>33</v>
      </c>
      <c r="AU1" s="296" t="s">
        <v>34</v>
      </c>
      <c r="AV1" s="296" t="s">
        <v>35</v>
      </c>
      <c r="AW1" s="296" t="s">
        <v>36</v>
      </c>
      <c r="AX1" s="296" t="s">
        <v>37</v>
      </c>
      <c r="AY1" s="296" t="s">
        <v>38</v>
      </c>
      <c r="AZ1" s="296" t="s">
        <v>39</v>
      </c>
      <c r="BA1" s="296" t="s">
        <v>40</v>
      </c>
      <c r="BB1" s="296" t="s">
        <v>45</v>
      </c>
      <c r="BC1" s="296" t="s">
        <v>41</v>
      </c>
      <c r="BD1" s="296" t="s">
        <v>42</v>
      </c>
      <c r="BE1" s="296" t="s">
        <v>46</v>
      </c>
      <c r="BF1" s="296" t="s">
        <v>43</v>
      </c>
      <c r="BI1" s="56" t="s">
        <v>44</v>
      </c>
      <c r="BJ1" s="57"/>
      <c r="BK1" s="300" t="s">
        <v>0</v>
      </c>
      <c r="BL1" s="300" t="s">
        <v>1</v>
      </c>
      <c r="BM1" s="300" t="s">
        <v>2</v>
      </c>
      <c r="BN1" s="300" t="s">
        <v>3</v>
      </c>
      <c r="BO1" s="300" t="s">
        <v>4</v>
      </c>
      <c r="BP1" s="300" t="s">
        <v>5</v>
      </c>
      <c r="BQ1" s="300" t="s">
        <v>6</v>
      </c>
      <c r="BR1" s="300" t="s">
        <v>7</v>
      </c>
      <c r="BS1" s="300" t="s">
        <v>8</v>
      </c>
      <c r="BT1" s="300" t="s">
        <v>9</v>
      </c>
      <c r="BU1" s="300" t="s">
        <v>10</v>
      </c>
      <c r="BV1" s="300" t="s">
        <v>11</v>
      </c>
      <c r="BW1" s="300" t="s">
        <v>12</v>
      </c>
      <c r="BX1" s="300" t="s">
        <v>13</v>
      </c>
      <c r="BY1" s="300" t="s">
        <v>14</v>
      </c>
      <c r="BZ1" s="300" t="s">
        <v>15</v>
      </c>
      <c r="CA1" s="300" t="s">
        <v>16</v>
      </c>
      <c r="CB1" s="300" t="s">
        <v>17</v>
      </c>
      <c r="CC1" s="300" t="s">
        <v>18</v>
      </c>
      <c r="CD1" s="300" t="s">
        <v>19</v>
      </c>
      <c r="CE1" s="300" t="s">
        <v>20</v>
      </c>
      <c r="CF1" s="300" t="s">
        <v>23</v>
      </c>
      <c r="CG1" s="301" t="s">
        <v>50</v>
      </c>
      <c r="CH1" s="301" t="s">
        <v>51</v>
      </c>
      <c r="CI1" s="303" t="s">
        <v>79</v>
      </c>
      <c r="CJ1" s="303" t="s">
        <v>80</v>
      </c>
      <c r="CK1" s="301" t="s">
        <v>48</v>
      </c>
      <c r="CL1" s="301" t="s">
        <v>49</v>
      </c>
      <c r="CM1" s="301" t="s">
        <v>97</v>
      </c>
      <c r="CP1" s="74" t="s">
        <v>44</v>
      </c>
      <c r="CQ1" s="75"/>
      <c r="CR1" s="302" t="s">
        <v>0</v>
      </c>
      <c r="CS1" s="302" t="s">
        <v>1</v>
      </c>
      <c r="CT1" s="302" t="s">
        <v>2</v>
      </c>
      <c r="CU1" s="302" t="s">
        <v>3</v>
      </c>
      <c r="CV1" s="302" t="s">
        <v>4</v>
      </c>
      <c r="CW1" s="302" t="s">
        <v>5</v>
      </c>
      <c r="CX1" s="302" t="s">
        <v>6</v>
      </c>
      <c r="CY1" s="302" t="s">
        <v>7</v>
      </c>
      <c r="CZ1" s="302" t="s">
        <v>8</v>
      </c>
      <c r="DA1" s="302" t="s">
        <v>9</v>
      </c>
      <c r="DB1" s="302" t="s">
        <v>10</v>
      </c>
      <c r="DC1" s="302" t="s">
        <v>11</v>
      </c>
      <c r="DD1" s="302" t="s">
        <v>12</v>
      </c>
      <c r="DE1" s="302" t="s">
        <v>13</v>
      </c>
      <c r="DF1" s="302" t="s">
        <v>14</v>
      </c>
      <c r="DG1" s="302" t="s">
        <v>15</v>
      </c>
      <c r="DH1" s="302" t="s">
        <v>16</v>
      </c>
      <c r="DI1" s="302" t="s">
        <v>17</v>
      </c>
      <c r="DJ1" s="302" t="s">
        <v>18</v>
      </c>
      <c r="DK1" s="302" t="s">
        <v>19</v>
      </c>
      <c r="DL1" s="302" t="s">
        <v>20</v>
      </c>
      <c r="DM1" s="302" t="s">
        <v>23</v>
      </c>
      <c r="DN1" s="305" t="s">
        <v>50</v>
      </c>
      <c r="DO1" s="305" t="s">
        <v>51</v>
      </c>
      <c r="DP1" s="306" t="s">
        <v>79</v>
      </c>
      <c r="DQ1" s="306" t="s">
        <v>80</v>
      </c>
      <c r="DR1" s="305" t="s">
        <v>48</v>
      </c>
      <c r="DS1" s="305" t="s">
        <v>49</v>
      </c>
      <c r="DT1" s="305" t="s">
        <v>97</v>
      </c>
      <c r="DV1" s="289" t="s">
        <v>437</v>
      </c>
      <c r="DW1" s="290"/>
      <c r="DX1" s="285">
        <f>DW17</f>
        <v>50</v>
      </c>
      <c r="DY1" s="286"/>
      <c r="DZ1" s="291" t="s">
        <v>0</v>
      </c>
      <c r="EA1" s="291" t="s">
        <v>1</v>
      </c>
      <c r="EB1" s="291" t="s">
        <v>2</v>
      </c>
      <c r="EC1" s="291" t="s">
        <v>3</v>
      </c>
      <c r="ED1" s="291" t="s">
        <v>4</v>
      </c>
      <c r="EE1" s="291" t="s">
        <v>5</v>
      </c>
      <c r="EF1" s="291" t="s">
        <v>6</v>
      </c>
      <c r="EG1" s="291" t="s">
        <v>7</v>
      </c>
      <c r="EH1" s="291" t="s">
        <v>8</v>
      </c>
      <c r="EI1" s="291" t="s">
        <v>9</v>
      </c>
      <c r="EJ1" s="291" t="s">
        <v>10</v>
      </c>
      <c r="EK1" s="291" t="s">
        <v>11</v>
      </c>
      <c r="EL1" s="291" t="s">
        <v>12</v>
      </c>
      <c r="EM1" s="291" t="s">
        <v>13</v>
      </c>
      <c r="EN1" s="291" t="s">
        <v>14</v>
      </c>
      <c r="EO1" s="291" t="s">
        <v>15</v>
      </c>
      <c r="EP1" s="291" t="s">
        <v>16</v>
      </c>
      <c r="EQ1" s="291" t="s">
        <v>17</v>
      </c>
      <c r="ER1" s="291" t="s">
        <v>18</v>
      </c>
      <c r="ES1" s="291" t="s">
        <v>19</v>
      </c>
      <c r="ET1" s="291" t="s">
        <v>20</v>
      </c>
      <c r="EU1" s="291" t="s">
        <v>23</v>
      </c>
      <c r="EV1" s="284" t="s">
        <v>50</v>
      </c>
      <c r="EW1" s="284" t="s">
        <v>51</v>
      </c>
      <c r="EX1" s="292" t="s">
        <v>79</v>
      </c>
      <c r="EY1" s="292" t="s">
        <v>80</v>
      </c>
      <c r="EZ1" s="284" t="s">
        <v>48</v>
      </c>
      <c r="FA1" s="284" t="s">
        <v>49</v>
      </c>
      <c r="FB1" s="284" t="s">
        <v>97</v>
      </c>
    </row>
    <row r="2" spans="1:158" x14ac:dyDescent="0.15">
      <c r="A2" s="7" t="s">
        <v>56</v>
      </c>
      <c r="B2" s="26"/>
      <c r="C2" s="27"/>
      <c r="D2" s="294"/>
      <c r="E2" s="294"/>
      <c r="F2" s="294"/>
      <c r="G2" s="294"/>
      <c r="H2" s="294"/>
      <c r="I2" s="294"/>
      <c r="J2" s="294"/>
      <c r="K2" s="294"/>
      <c r="L2" s="294"/>
      <c r="M2" s="294"/>
      <c r="N2" s="294"/>
      <c r="O2" s="294"/>
      <c r="P2" s="294"/>
      <c r="Q2" s="294"/>
      <c r="R2" s="294"/>
      <c r="S2" s="294"/>
      <c r="T2" s="294"/>
      <c r="U2" s="294"/>
      <c r="V2" s="294"/>
      <c r="W2" s="294"/>
      <c r="X2" s="294"/>
      <c r="Y2" s="294"/>
      <c r="Z2" s="295"/>
      <c r="AA2" s="295"/>
      <c r="AB2" s="299"/>
      <c r="AC2" s="299"/>
      <c r="AD2" s="295"/>
      <c r="AE2" s="295"/>
      <c r="AF2" s="295"/>
      <c r="AI2" s="43"/>
      <c r="AJ2" s="44"/>
      <c r="AK2" s="45"/>
      <c r="AL2" s="297"/>
      <c r="AM2" s="296"/>
      <c r="AN2" s="296"/>
      <c r="AO2" s="296"/>
      <c r="AP2" s="296"/>
      <c r="AQ2" s="296"/>
      <c r="AR2" s="296"/>
      <c r="AS2" s="296"/>
      <c r="AT2" s="296"/>
      <c r="AU2" s="296"/>
      <c r="AV2" s="296"/>
      <c r="AW2" s="296"/>
      <c r="AX2" s="296"/>
      <c r="AY2" s="296"/>
      <c r="AZ2" s="296"/>
      <c r="BA2" s="296"/>
      <c r="BB2" s="296"/>
      <c r="BC2" s="296"/>
      <c r="BD2" s="296"/>
      <c r="BE2" s="296"/>
      <c r="BF2" s="296"/>
      <c r="BH2" s="7" t="s">
        <v>56</v>
      </c>
      <c r="BI2" s="58" t="s">
        <v>116</v>
      </c>
      <c r="BJ2" s="59"/>
      <c r="BK2" s="300"/>
      <c r="BL2" s="300"/>
      <c r="BM2" s="300"/>
      <c r="BN2" s="300"/>
      <c r="BO2" s="300"/>
      <c r="BP2" s="300"/>
      <c r="BQ2" s="300"/>
      <c r="BR2" s="300"/>
      <c r="BS2" s="300"/>
      <c r="BT2" s="300"/>
      <c r="BU2" s="300"/>
      <c r="BV2" s="300"/>
      <c r="BW2" s="300"/>
      <c r="BX2" s="300"/>
      <c r="BY2" s="300"/>
      <c r="BZ2" s="300"/>
      <c r="CA2" s="300"/>
      <c r="CB2" s="300"/>
      <c r="CC2" s="300"/>
      <c r="CD2" s="300"/>
      <c r="CE2" s="300"/>
      <c r="CF2" s="300"/>
      <c r="CG2" s="301"/>
      <c r="CH2" s="301"/>
      <c r="CI2" s="304"/>
      <c r="CJ2" s="304"/>
      <c r="CK2" s="301"/>
      <c r="CL2" s="301"/>
      <c r="CM2" s="301"/>
      <c r="CO2" s="7" t="s">
        <v>56</v>
      </c>
      <c r="CP2" s="76" t="s">
        <v>117</v>
      </c>
      <c r="CQ2" s="77"/>
      <c r="CR2" s="302"/>
      <c r="CS2" s="302"/>
      <c r="CT2" s="302"/>
      <c r="CU2" s="302"/>
      <c r="CV2" s="302"/>
      <c r="CW2" s="302"/>
      <c r="CX2" s="302"/>
      <c r="CY2" s="302"/>
      <c r="CZ2" s="302"/>
      <c r="DA2" s="302"/>
      <c r="DB2" s="302"/>
      <c r="DC2" s="302"/>
      <c r="DD2" s="302"/>
      <c r="DE2" s="302"/>
      <c r="DF2" s="302"/>
      <c r="DG2" s="302"/>
      <c r="DH2" s="302"/>
      <c r="DI2" s="302"/>
      <c r="DJ2" s="302"/>
      <c r="DK2" s="302"/>
      <c r="DL2" s="302"/>
      <c r="DM2" s="302"/>
      <c r="DN2" s="305"/>
      <c r="DO2" s="305"/>
      <c r="DP2" s="307"/>
      <c r="DQ2" s="307"/>
      <c r="DR2" s="305"/>
      <c r="DS2" s="305"/>
      <c r="DT2" s="305"/>
      <c r="DV2" s="289"/>
      <c r="DW2" s="290"/>
      <c r="DX2" s="287"/>
      <c r="DY2" s="288"/>
      <c r="DZ2" s="291"/>
      <c r="EA2" s="291"/>
      <c r="EB2" s="291"/>
      <c r="EC2" s="291"/>
      <c r="ED2" s="291"/>
      <c r="EE2" s="291"/>
      <c r="EF2" s="291"/>
      <c r="EG2" s="291"/>
      <c r="EH2" s="291"/>
      <c r="EI2" s="291"/>
      <c r="EJ2" s="291"/>
      <c r="EK2" s="291"/>
      <c r="EL2" s="291"/>
      <c r="EM2" s="291"/>
      <c r="EN2" s="291"/>
      <c r="EO2" s="291"/>
      <c r="EP2" s="291"/>
      <c r="EQ2" s="291"/>
      <c r="ER2" s="291"/>
      <c r="ES2" s="291"/>
      <c r="ET2" s="291"/>
      <c r="EU2" s="291"/>
      <c r="EV2" s="284"/>
      <c r="EW2" s="284"/>
      <c r="EX2" s="293"/>
      <c r="EY2" s="293"/>
      <c r="EZ2" s="284"/>
      <c r="FA2" s="284"/>
      <c r="FB2" s="284"/>
    </row>
    <row r="3" spans="1:158" x14ac:dyDescent="0.15">
      <c r="A3" s="7" t="str">
        <f>B3&amp;"_"&amp;IF(C3="男性",1,IF(C3="女性",2,IF(C3="合計",3)))</f>
        <v>2005_1</v>
      </c>
      <c r="B3" s="28">
        <v>2005</v>
      </c>
      <c r="C3" s="3" t="s">
        <v>21</v>
      </c>
      <c r="D3" s="184">
        <v>96</v>
      </c>
      <c r="E3" s="9">
        <v>118.4</v>
      </c>
      <c r="F3" s="9">
        <v>143.6</v>
      </c>
      <c r="G3" s="9">
        <v>123.4</v>
      </c>
      <c r="H3" s="9">
        <v>127.9</v>
      </c>
      <c r="I3" s="9">
        <v>94.8</v>
      </c>
      <c r="J3" s="9">
        <v>110.2</v>
      </c>
      <c r="K3" s="9">
        <v>111.2</v>
      </c>
      <c r="L3" s="9">
        <v>136.6</v>
      </c>
      <c r="M3" s="9">
        <v>173.9</v>
      </c>
      <c r="N3" s="9">
        <v>216.1</v>
      </c>
      <c r="O3" s="9">
        <v>229.4</v>
      </c>
      <c r="P3" s="9">
        <v>166.8</v>
      </c>
      <c r="Q3" s="9">
        <v>168.2</v>
      </c>
      <c r="R3" s="9">
        <v>170.4</v>
      </c>
      <c r="S3" s="9">
        <v>134.9</v>
      </c>
      <c r="T3" s="9">
        <v>87.1</v>
      </c>
      <c r="U3" s="9">
        <v>44.7</v>
      </c>
      <c r="V3" s="9">
        <v>11.9</v>
      </c>
      <c r="W3" s="9">
        <v>2</v>
      </c>
      <c r="X3" s="9">
        <v>0</v>
      </c>
      <c r="Y3" s="9">
        <v>2467.5</v>
      </c>
      <c r="Z3" s="9">
        <f>E3*3/5+F3*3/5</f>
        <v>157.19999999999999</v>
      </c>
      <c r="AA3" s="9">
        <f>F3*2/5+G3*1/5</f>
        <v>82.12</v>
      </c>
      <c r="AB3" s="9">
        <f t="shared" ref="AB3:AB20" si="0">SUM(Q3:X3)</f>
        <v>619.20000000000005</v>
      </c>
      <c r="AC3" s="9">
        <f>SUM(S3:X3)</f>
        <v>280.59999999999997</v>
      </c>
      <c r="AD3" s="13">
        <f>AB3/Y3</f>
        <v>0.2509422492401216</v>
      </c>
      <c r="AE3" s="13">
        <f>AC3/Y3</f>
        <v>0.11371833839918945</v>
      </c>
      <c r="AF3" s="9">
        <f>SUM(H3:K3)</f>
        <v>444.09999999999997</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1.2293782850101864</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1.029368678575548</v>
      </c>
      <c r="AO3" s="6">
        <f t="shared" si="1"/>
        <v>0.73513876708729797</v>
      </c>
      <c r="AP3" s="6">
        <f t="shared" si="1"/>
        <v>0.47967281864005334</v>
      </c>
      <c r="AQ3" s="6">
        <f t="shared" si="1"/>
        <v>0.79268793405236926</v>
      </c>
      <c r="AR3" s="6">
        <f t="shared" si="1"/>
        <v>0.87514228734457844</v>
      </c>
      <c r="AS3" s="6">
        <f t="shared" si="1"/>
        <v>0.89918049636659836</v>
      </c>
      <c r="AT3" s="6">
        <f t="shared" si="1"/>
        <v>1.1144870459820466</v>
      </c>
      <c r="AU3" s="6">
        <f t="shared" si="1"/>
        <v>0.98705868421111664</v>
      </c>
      <c r="AV3" s="6">
        <f t="shared" si="1"/>
        <v>0.8742522047889747</v>
      </c>
      <c r="AW3" s="6">
        <f t="shared" si="1"/>
        <v>0.99668270617560184</v>
      </c>
      <c r="AX3" s="6">
        <f t="shared" si="1"/>
        <v>0.96718941357665111</v>
      </c>
      <c r="AY3" s="6">
        <f t="shared" si="1"/>
        <v>0.96017878108105859</v>
      </c>
      <c r="AZ3" s="6">
        <f t="shared" si="1"/>
        <v>0.93876582445054801</v>
      </c>
      <c r="BA3" s="6">
        <f t="shared" si="1"/>
        <v>0.85558141614690475</v>
      </c>
      <c r="BB3" s="6">
        <f t="shared" si="1"/>
        <v>0.7466695862485826</v>
      </c>
      <c r="BC3" s="6">
        <f t="shared" si="1"/>
        <v>0.48350742154045689</v>
      </c>
      <c r="BD3" s="6">
        <f t="shared" si="1"/>
        <v>0.47591900108011798</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0.12572414213657865</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0.34694024197351025</v>
      </c>
      <c r="BH3" s="7" t="str">
        <f>BI3&amp;"_"&amp;IF(BJ3="男性",1,IF(BJ3="女性",2,IF(BJ3="合計",3)))</f>
        <v>2025_1</v>
      </c>
      <c r="BI3" s="28">
        <f>管理者入力シート!B8</f>
        <v>2025</v>
      </c>
      <c r="BJ3" s="3" t="s">
        <v>21</v>
      </c>
      <c r="BK3" s="9">
        <f>CM4*AK$13</f>
        <v>46.743983553031256</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69.338612188957299</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65.095517892852172</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68.615422329784678</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41.908174741787093</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36.6837581879334</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45.671897610077622</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47.963471147780247</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105.11051593498054</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91.560262700509284</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100.54877438516984</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93.27807835855819</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126.48748989916508</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150.30348923717514</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186.2034932154782</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165.05679547821649</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96.570866643798297</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53.856247631888813</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22.547825113139936</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3.802809398856017</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3.7500601766241592E-2</v>
      </c>
      <c r="CF3" s="9">
        <f t="shared" ref="CF3:CF14" si="2">SUM(BK3:CE3)</f>
        <v>1617.3849862509057</v>
      </c>
      <c r="CG3" s="9">
        <f>BL3*3/5+BM3*3/5</f>
        <v>80.660478049085683</v>
      </c>
      <c r="CH3" s="9">
        <f>BM3*2/5+BN3*1/5</f>
        <v>39.761291623097804</v>
      </c>
      <c r="CI3" s="9">
        <f t="shared" ref="CI3:CI14" si="3">SUM(BX3:CE3)</f>
        <v>678.3790273203191</v>
      </c>
      <c r="CJ3" s="9">
        <f>SUM(BZ3:CE3)</f>
        <v>341.87204486766581</v>
      </c>
      <c r="CK3" s="13">
        <f>CI3/CF3</f>
        <v>0.41942953167433561</v>
      </c>
      <c r="CL3" s="13">
        <f>CJ3/CF3</f>
        <v>0.21137332655728697</v>
      </c>
      <c r="CM3" s="9">
        <f>SUM(BO3:BR3)</f>
        <v>172.22730168757835</v>
      </c>
      <c r="CO3" s="7" t="str">
        <f>CP3&amp;"_"&amp;IF(CQ3="男性",1,IF(CQ3="女性",2,IF(CQ3="合計",3)))</f>
        <v>2025_1</v>
      </c>
      <c r="CP3" s="28">
        <f>管理者入力シート!B8</f>
        <v>2025</v>
      </c>
      <c r="CQ3" s="3" t="s">
        <v>21</v>
      </c>
      <c r="CR3" s="9">
        <f>BK3+将来予測シート②!$G17</f>
        <v>47.743983553031256</v>
      </c>
      <c r="CS3" s="9">
        <f>BL3+将来予測シート②!$G18</f>
        <v>69.338612188957299</v>
      </c>
      <c r="CT3" s="9">
        <f>BM3+将来予測シート②!$G19</f>
        <v>66.095517892852172</v>
      </c>
      <c r="CU3" s="9">
        <f>BN3+将来予測シート②!$G20</f>
        <v>68.615422329784678</v>
      </c>
      <c r="CV3" s="9">
        <f>BO3+将来予測シート②!$G21</f>
        <v>41.908174741787093</v>
      </c>
      <c r="CW3" s="9">
        <f>BP3+将来予測シート②!$G22</f>
        <v>38.6837581879334</v>
      </c>
      <c r="CX3" s="9">
        <f>BQ3+将来予測シート②!$G23</f>
        <v>45.671897610077622</v>
      </c>
      <c r="CY3" s="9">
        <f>BR3+将来予測シート②!$G24</f>
        <v>47.963471147780247</v>
      </c>
      <c r="CZ3" s="9">
        <f>BS3+将来予測シート②!$G25</f>
        <v>105.11051593498054</v>
      </c>
      <c r="DA3" s="9">
        <f>BT3+将来予測シート②!$G26</f>
        <v>91.560262700509284</v>
      </c>
      <c r="DB3" s="9">
        <f>BU3+将来予測シート②!$G27</f>
        <v>100.54877438516984</v>
      </c>
      <c r="DC3" s="9">
        <f>BV3+将来予測シート②!$G28</f>
        <v>93.27807835855819</v>
      </c>
      <c r="DD3" s="9">
        <f>BW3+将来予測シート②!$G29</f>
        <v>126.48748989916508</v>
      </c>
      <c r="DE3" s="9">
        <f>BX3</f>
        <v>150.30348923717514</v>
      </c>
      <c r="DF3" s="9">
        <f t="shared" ref="DF3:DL3" si="4">BY3</f>
        <v>186.2034932154782</v>
      </c>
      <c r="DG3" s="9">
        <f t="shared" si="4"/>
        <v>165.05679547821649</v>
      </c>
      <c r="DH3" s="9">
        <f t="shared" si="4"/>
        <v>96.570866643798297</v>
      </c>
      <c r="DI3" s="9">
        <f t="shared" si="4"/>
        <v>53.856247631888813</v>
      </c>
      <c r="DJ3" s="9">
        <f t="shared" si="4"/>
        <v>22.547825113139936</v>
      </c>
      <c r="DK3" s="9">
        <f t="shared" si="4"/>
        <v>3.802809398856017</v>
      </c>
      <c r="DL3" s="9">
        <f t="shared" si="4"/>
        <v>3.7500601766241592E-2</v>
      </c>
      <c r="DM3" s="9">
        <f t="shared" ref="DM3:DM4" si="5">SUM(CR3:DL3)</f>
        <v>1621.3849862509057</v>
      </c>
      <c r="DN3" s="9">
        <f>CS3*3/5+CT3*3/5</f>
        <v>81.260478049085691</v>
      </c>
      <c r="DO3" s="9">
        <f>CT3*2/5+CU3*1/5</f>
        <v>40.161291623097803</v>
      </c>
      <c r="DP3" s="9">
        <f t="shared" ref="DP3:DP14" si="6">SUM(DE3:DL3)</f>
        <v>678.3790273203191</v>
      </c>
      <c r="DQ3" s="9">
        <f>SUM(DG3:DL3)</f>
        <v>341.87204486766581</v>
      </c>
      <c r="DR3" s="13">
        <f>DP3/DM3</f>
        <v>0.41839478783439371</v>
      </c>
      <c r="DS3" s="13">
        <f>DQ3/DM3</f>
        <v>0.21085186292378919</v>
      </c>
      <c r="DT3" s="9">
        <f>SUM(CV3:CY3)</f>
        <v>174.22730168757835</v>
      </c>
      <c r="DV3" s="289"/>
      <c r="DW3" s="290"/>
      <c r="DX3" s="28">
        <f>管理者入力シート!B8</f>
        <v>2025</v>
      </c>
      <c r="DY3" s="3" t="s">
        <v>21</v>
      </c>
      <c r="DZ3" s="9">
        <f>BK$3</f>
        <v>46.743983553031256</v>
      </c>
      <c r="EA3" s="9">
        <f>BL$3</f>
        <v>69.338612188957299</v>
      </c>
      <c r="EB3" s="9">
        <f t="shared" ref="EB3:ED3" si="7">BM$3</f>
        <v>65.095517892852172</v>
      </c>
      <c r="EC3" s="9">
        <f t="shared" si="7"/>
        <v>68.615422329784678</v>
      </c>
      <c r="ED3" s="9">
        <f t="shared" si="7"/>
        <v>41.908174741787093</v>
      </c>
      <c r="EE3" s="9">
        <f>BP$3+DX1</f>
        <v>86.683758187933392</v>
      </c>
      <c r="EF3" s="9">
        <f>BQ$3+DX1</f>
        <v>95.671897610077622</v>
      </c>
      <c r="EG3" s="9">
        <f>BR$3+DX1</f>
        <v>97.96347114778024</v>
      </c>
      <c r="EH3" s="9">
        <f t="shared" ref="EH3:ET3" si="8">BS$3</f>
        <v>105.11051593498054</v>
      </c>
      <c r="EI3" s="9">
        <f t="shared" si="8"/>
        <v>91.560262700509284</v>
      </c>
      <c r="EJ3" s="9">
        <f t="shared" si="8"/>
        <v>100.54877438516984</v>
      </c>
      <c r="EK3" s="9">
        <f t="shared" si="8"/>
        <v>93.27807835855819</v>
      </c>
      <c r="EL3" s="9">
        <f t="shared" si="8"/>
        <v>126.48748989916508</v>
      </c>
      <c r="EM3" s="9">
        <f t="shared" si="8"/>
        <v>150.30348923717514</v>
      </c>
      <c r="EN3" s="9">
        <f t="shared" si="8"/>
        <v>186.2034932154782</v>
      </c>
      <c r="EO3" s="9">
        <f t="shared" si="8"/>
        <v>165.05679547821649</v>
      </c>
      <c r="EP3" s="9">
        <f t="shared" si="8"/>
        <v>96.570866643798297</v>
      </c>
      <c r="EQ3" s="9">
        <f t="shared" si="8"/>
        <v>53.856247631888813</v>
      </c>
      <c r="ER3" s="9">
        <f t="shared" si="8"/>
        <v>22.547825113139936</v>
      </c>
      <c r="ES3" s="9">
        <f t="shared" si="8"/>
        <v>3.802809398856017</v>
      </c>
      <c r="ET3" s="9">
        <f t="shared" si="8"/>
        <v>3.7500601766241592E-2</v>
      </c>
      <c r="EU3" s="9">
        <f t="shared" ref="EU3:EU4" si="9">SUM(DZ3:ET3)</f>
        <v>1767.3849862509057</v>
      </c>
      <c r="EV3" s="9">
        <f>EA3*3/5+EB3*3/5</f>
        <v>80.660478049085683</v>
      </c>
      <c r="EW3" s="9">
        <f>EB3*2/5+EC3*1/5</f>
        <v>39.761291623097804</v>
      </c>
      <c r="EX3" s="9">
        <f t="shared" ref="EX3:EX14" si="10">SUM(EM3:ET3)</f>
        <v>678.3790273203191</v>
      </c>
      <c r="EY3" s="9">
        <f>SUM(EO3:ET3)</f>
        <v>341.87204486766581</v>
      </c>
      <c r="EZ3" s="13">
        <f>EX3/EU3</f>
        <v>0.38383206409337089</v>
      </c>
      <c r="FA3" s="13">
        <f>EY3/EU3</f>
        <v>0.19343382880764845</v>
      </c>
      <c r="FB3" s="9">
        <f>SUM(ED3:EG3)</f>
        <v>322.22730168757835</v>
      </c>
    </row>
    <row r="4" spans="1:158" x14ac:dyDescent="0.15">
      <c r="A4" s="7" t="str">
        <f t="shared" ref="A4:A14" si="11">B4&amp;"_"&amp;IF(C4="男性",1,IF(C4="女性",2,IF(C4="合計",3)))</f>
        <v>2005_2</v>
      </c>
      <c r="B4" s="29">
        <v>2005</v>
      </c>
      <c r="C4" s="4" t="s">
        <v>22</v>
      </c>
      <c r="D4" s="10">
        <v>94.3</v>
      </c>
      <c r="E4" s="10">
        <v>118.9</v>
      </c>
      <c r="F4" s="10">
        <v>116.1</v>
      </c>
      <c r="G4" s="10">
        <v>132.6</v>
      </c>
      <c r="H4" s="10">
        <v>107.9</v>
      </c>
      <c r="I4" s="10">
        <v>104.8</v>
      </c>
      <c r="J4" s="10">
        <v>109.2</v>
      </c>
      <c r="K4" s="10">
        <v>112.8</v>
      </c>
      <c r="L4" s="10">
        <v>149.69999999999999</v>
      </c>
      <c r="M4" s="10">
        <v>179.9</v>
      </c>
      <c r="N4" s="10">
        <v>201.1</v>
      </c>
      <c r="O4" s="10">
        <v>211.9</v>
      </c>
      <c r="P4" s="10">
        <v>197.2</v>
      </c>
      <c r="Q4" s="10">
        <v>183</v>
      </c>
      <c r="R4" s="10">
        <v>210.8</v>
      </c>
      <c r="S4" s="10">
        <v>218</v>
      </c>
      <c r="T4" s="10">
        <v>159.4</v>
      </c>
      <c r="U4" s="10">
        <v>92.6</v>
      </c>
      <c r="V4" s="10">
        <v>50.8</v>
      </c>
      <c r="W4" s="10">
        <v>6</v>
      </c>
      <c r="X4" s="10">
        <v>1</v>
      </c>
      <c r="Y4" s="10">
        <v>2758.0000000000005</v>
      </c>
      <c r="Z4" s="10">
        <f t="shared" ref="Z4:Z11" si="12">E4*3/5+F4*3/5</f>
        <v>141</v>
      </c>
      <c r="AA4" s="10">
        <f t="shared" ref="AA4:AA11" si="13">F4*2/5+G4*1/5</f>
        <v>72.959999999999994</v>
      </c>
      <c r="AB4" s="10">
        <f t="shared" si="0"/>
        <v>921.59999999999991</v>
      </c>
      <c r="AC4" s="10">
        <f t="shared" ref="AC4:AC11" si="14">SUM(S4:X4)</f>
        <v>527.79999999999995</v>
      </c>
      <c r="AD4" s="14">
        <f t="shared" ref="AD4:AD11" si="15">AB4/Y4</f>
        <v>0.33415518491660617</v>
      </c>
      <c r="AE4" s="14">
        <f t="shared" ref="AE4:AE11" si="16">AC4/Y4</f>
        <v>0.19137055837563446</v>
      </c>
      <c r="AF4" s="10">
        <f t="shared" ref="AF4:AF20" si="17">SUM(H4:K4)</f>
        <v>434.7</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0.94736840723010984</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0.96990727647229924</v>
      </c>
      <c r="AO4" s="193">
        <f t="shared" si="18"/>
        <v>0.82844628124150232</v>
      </c>
      <c r="AP4" s="193">
        <f t="shared" si="18"/>
        <v>0.49353746562507339</v>
      </c>
      <c r="AQ4" s="193">
        <f t="shared" si="18"/>
        <v>0.83856739057126539</v>
      </c>
      <c r="AR4" s="193">
        <f t="shared" si="18"/>
        <v>0.71117542717676607</v>
      </c>
      <c r="AS4" s="193">
        <f t="shared" si="18"/>
        <v>0.96098149150606793</v>
      </c>
      <c r="AT4" s="193">
        <f t="shared" si="18"/>
        <v>0.99266573379364587</v>
      </c>
      <c r="AU4" s="193">
        <f t="shared" si="18"/>
        <v>0.98434788985949662</v>
      </c>
      <c r="AV4" s="193">
        <f t="shared" si="18"/>
        <v>0.95369423008382792</v>
      </c>
      <c r="AW4" s="193">
        <f t="shared" si="18"/>
        <v>0.96281504645346827</v>
      </c>
      <c r="AX4" s="193">
        <f t="shared" si="18"/>
        <v>0.98765065273381092</v>
      </c>
      <c r="AY4" s="193">
        <f t="shared" si="18"/>
        <v>0.99163020302652538</v>
      </c>
      <c r="AZ4" s="193">
        <f t="shared" si="18"/>
        <v>0.93326777954231932</v>
      </c>
      <c r="BA4" s="193">
        <f t="shared" si="18"/>
        <v>0.89878599751482335</v>
      </c>
      <c r="BB4" s="193">
        <f t="shared" si="18"/>
        <v>0.74964000694689426</v>
      </c>
      <c r="BC4" s="193">
        <f t="shared" si="18"/>
        <v>0.78483813179806461</v>
      </c>
      <c r="BD4" s="193">
        <f t="shared" si="18"/>
        <v>0.56495829885430293</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0.410925242597586</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0.12600130724498282</v>
      </c>
      <c r="BH4" s="7" t="str">
        <f t="shared" ref="BH4:BH20" si="19">BI4&amp;"_"&amp;IF(BJ4="男性",1,IF(BJ4="女性",2,IF(BJ4="合計",3)))</f>
        <v>2025_2</v>
      </c>
      <c r="BI4" s="29">
        <f>BI3</f>
        <v>2025</v>
      </c>
      <c r="BJ4" s="4" t="s">
        <v>22</v>
      </c>
      <c r="BK4" s="10">
        <f>CM4*AK$14</f>
        <v>40.731793754651427</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49.457928555604219</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63.625307844748747</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64.368235669096606</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44.893252207593896</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42.560898411009681</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41.07531186502014</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55.640936229595262</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79.692366260421906</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91.321270484543547</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101.33319777576733</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107.44183591292541</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133.61348455516099</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164.42108031765369</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186.92005639878732</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190.38202603413185</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129.98231954470077</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95.21664792061523</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67.10077109120482</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28.388044721087208</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2.9523038091119971</v>
      </c>
      <c r="CF4" s="10">
        <f t="shared" si="2"/>
        <v>1781.1190693634321</v>
      </c>
      <c r="CG4" s="10">
        <f t="shared" ref="CG4:CG14" si="20">BL4*3/5+BM4*3/5</f>
        <v>67.849941840211784</v>
      </c>
      <c r="CH4" s="10">
        <f t="shared" ref="CH4:CH14" si="21">BM4*2/5+BN4*1/5</f>
        <v>38.323770271718821</v>
      </c>
      <c r="CI4" s="10">
        <f t="shared" si="3"/>
        <v>865.36324983729298</v>
      </c>
      <c r="CJ4" s="10">
        <f t="shared" ref="CJ4:CJ14" si="22">SUM(BZ4:CE4)</f>
        <v>514.02211312085194</v>
      </c>
      <c r="CK4" s="14">
        <f t="shared" ref="CK4:CK14" si="23">CI4/CF4</f>
        <v>0.48585367745603431</v>
      </c>
      <c r="CL4" s="14">
        <f t="shared" ref="CL4:CL14" si="24">CJ4/CF4</f>
        <v>0.28859503104672407</v>
      </c>
      <c r="CM4" s="10">
        <f t="shared" ref="CM4:CM14" si="25">SUM(BO4:BR4)</f>
        <v>184.17039871321899</v>
      </c>
      <c r="CO4" s="7" t="str">
        <f t="shared" ref="CO4:CO20" si="26">CP4&amp;"_"&amp;IF(CQ4="男性",1,IF(CQ4="女性",2,IF(CQ4="合計",3)))</f>
        <v>2025_2</v>
      </c>
      <c r="CP4" s="29">
        <f>CP3</f>
        <v>2025</v>
      </c>
      <c r="CQ4" s="4" t="s">
        <v>22</v>
      </c>
      <c r="CR4" s="10">
        <f>BK4+将来予測シート②!$H17</f>
        <v>41.731793754651427</v>
      </c>
      <c r="CS4" s="10">
        <f>BL4+将来予測シート②!$H18</f>
        <v>49.457928555604219</v>
      </c>
      <c r="CT4" s="10">
        <f>BM4+将来予測シート②!$H19</f>
        <v>64.625307844748747</v>
      </c>
      <c r="CU4" s="10">
        <f>BN4+将来予測シート②!$H20</f>
        <v>64.368235669096606</v>
      </c>
      <c r="CV4" s="10">
        <f>BO4+将来予測シート②!$H21</f>
        <v>44.893252207593896</v>
      </c>
      <c r="CW4" s="10">
        <f>BP4+将来予測シート②!$H22</f>
        <v>44.560898411009681</v>
      </c>
      <c r="CX4" s="10">
        <f>BQ4+将来予測シート②!$H23</f>
        <v>41.07531186502014</v>
      </c>
      <c r="CY4" s="10">
        <f>BR4+将来予測シート②!$H24</f>
        <v>55.640936229595262</v>
      </c>
      <c r="CZ4" s="10">
        <f>BS4+将来予測シート②!$H25</f>
        <v>80.692366260421906</v>
      </c>
      <c r="DA4" s="10">
        <f>BT4+将来予測シート②!$H26</f>
        <v>91.321270484543547</v>
      </c>
      <c r="DB4" s="10">
        <f>BU4+将来予測シート②!$H27</f>
        <v>101.33319777576733</v>
      </c>
      <c r="DC4" s="10">
        <f>BV4+将来予測シート②!$H28</f>
        <v>107.44183591292541</v>
      </c>
      <c r="DD4" s="10">
        <f>BW4+将来予測シート②!$H29</f>
        <v>133.61348455516099</v>
      </c>
      <c r="DE4" s="10">
        <f>BX4</f>
        <v>164.42108031765369</v>
      </c>
      <c r="DF4" s="10">
        <f t="shared" ref="DF4" si="27">BY4</f>
        <v>186.92005639878732</v>
      </c>
      <c r="DG4" s="10">
        <f t="shared" ref="DG4" si="28">BZ4</f>
        <v>190.38202603413185</v>
      </c>
      <c r="DH4" s="10">
        <f t="shared" ref="DH4" si="29">CA4</f>
        <v>129.98231954470077</v>
      </c>
      <c r="DI4" s="10">
        <f t="shared" ref="DI4" si="30">CB4</f>
        <v>95.21664792061523</v>
      </c>
      <c r="DJ4" s="10">
        <f t="shared" ref="DJ4" si="31">CC4</f>
        <v>67.10077109120482</v>
      </c>
      <c r="DK4" s="10">
        <f t="shared" ref="DK4" si="32">CD4</f>
        <v>28.388044721087208</v>
      </c>
      <c r="DL4" s="10">
        <f t="shared" ref="DL4" si="33">CE4</f>
        <v>2.9523038091119971</v>
      </c>
      <c r="DM4" s="10">
        <f t="shared" si="5"/>
        <v>1786.1190693634321</v>
      </c>
      <c r="DN4" s="10">
        <f t="shared" ref="DN4:DN14" si="34">CS4*3/5+CT4*3/5</f>
        <v>68.449941840211778</v>
      </c>
      <c r="DO4" s="10">
        <f t="shared" ref="DO4:DO14" si="35">CT4*2/5+CU4*1/5</f>
        <v>38.72377027171882</v>
      </c>
      <c r="DP4" s="10">
        <f t="shared" si="6"/>
        <v>865.36324983729298</v>
      </c>
      <c r="DQ4" s="10">
        <f t="shared" ref="DQ4:DQ14" si="36">SUM(DG4:DL4)</f>
        <v>514.02211312085194</v>
      </c>
      <c r="DR4" s="14">
        <f t="shared" ref="DR4:DR14" si="37">DP4/DM4</f>
        <v>0.48449359546097115</v>
      </c>
      <c r="DS4" s="14">
        <f t="shared" ref="DS4:DS14" si="38">DQ4/DM4</f>
        <v>0.28778714808976763</v>
      </c>
      <c r="DT4" s="10">
        <f>SUM(CV4:CY4)</f>
        <v>186.17039871321899</v>
      </c>
      <c r="DV4" s="289"/>
      <c r="DW4" s="290"/>
      <c r="DX4" s="29">
        <f>DX3</f>
        <v>2025</v>
      </c>
      <c r="DY4" s="4" t="s">
        <v>22</v>
      </c>
      <c r="DZ4" s="10">
        <f>BK$4</f>
        <v>40.731793754651427</v>
      </c>
      <c r="EA4" s="10">
        <f>BL$4</f>
        <v>49.457928555604219</v>
      </c>
      <c r="EB4" s="10">
        <f t="shared" ref="EB4:ED4" si="39">BM$4</f>
        <v>63.625307844748747</v>
      </c>
      <c r="EC4" s="10">
        <f t="shared" si="39"/>
        <v>64.368235669096606</v>
      </c>
      <c r="ED4" s="10">
        <f t="shared" si="39"/>
        <v>44.893252207593896</v>
      </c>
      <c r="EE4" s="10">
        <f>BP$4+DX1</f>
        <v>92.560898411009674</v>
      </c>
      <c r="EF4" s="10">
        <f>BQ$4+DX1</f>
        <v>91.07531186502014</v>
      </c>
      <c r="EG4" s="10">
        <f>BR$4+DX1</f>
        <v>105.64093622959527</v>
      </c>
      <c r="EH4" s="10">
        <f t="shared" ref="EH4:ET4" si="40">BS$4</f>
        <v>79.692366260421906</v>
      </c>
      <c r="EI4" s="10">
        <f t="shared" si="40"/>
        <v>91.321270484543547</v>
      </c>
      <c r="EJ4" s="10">
        <f t="shared" si="40"/>
        <v>101.33319777576733</v>
      </c>
      <c r="EK4" s="10">
        <f t="shared" si="40"/>
        <v>107.44183591292541</v>
      </c>
      <c r="EL4" s="10">
        <f t="shared" si="40"/>
        <v>133.61348455516099</v>
      </c>
      <c r="EM4" s="10">
        <f t="shared" si="40"/>
        <v>164.42108031765369</v>
      </c>
      <c r="EN4" s="10">
        <f t="shared" si="40"/>
        <v>186.92005639878732</v>
      </c>
      <c r="EO4" s="10">
        <f t="shared" si="40"/>
        <v>190.38202603413185</v>
      </c>
      <c r="EP4" s="10">
        <f t="shared" si="40"/>
        <v>129.98231954470077</v>
      </c>
      <c r="EQ4" s="10">
        <f t="shared" si="40"/>
        <v>95.21664792061523</v>
      </c>
      <c r="ER4" s="10">
        <f t="shared" si="40"/>
        <v>67.10077109120482</v>
      </c>
      <c r="ES4" s="10">
        <f t="shared" si="40"/>
        <v>28.388044721087208</v>
      </c>
      <c r="ET4" s="10">
        <f t="shared" si="40"/>
        <v>2.9523038091119971</v>
      </c>
      <c r="EU4" s="10">
        <f t="shared" si="9"/>
        <v>1931.1190693634317</v>
      </c>
      <c r="EV4" s="10">
        <f t="shared" ref="EV4:EV14" si="41">EA4*3/5+EB4*3/5</f>
        <v>67.849941840211784</v>
      </c>
      <c r="EW4" s="10">
        <f t="shared" ref="EW4:EW14" si="42">EB4*2/5+EC4*1/5</f>
        <v>38.323770271718821</v>
      </c>
      <c r="EX4" s="10">
        <f t="shared" si="10"/>
        <v>865.36324983729298</v>
      </c>
      <c r="EY4" s="10">
        <f t="shared" ref="EY4:EY14" si="43">SUM(EO4:ET4)</f>
        <v>514.02211312085194</v>
      </c>
      <c r="EZ4" s="14">
        <f t="shared" ref="EZ4:EZ14" si="44">EX4/EU4</f>
        <v>0.44811491096846179</v>
      </c>
      <c r="FA4" s="14">
        <f t="shared" ref="FA4:FA14" si="45">EY4/EU4</f>
        <v>0.2661783632483587</v>
      </c>
      <c r="FB4" s="10">
        <f>SUM(ED4:EG4)</f>
        <v>334.17039871321902</v>
      </c>
    </row>
    <row r="5" spans="1:158" x14ac:dyDescent="0.15">
      <c r="A5" s="7" t="str">
        <f t="shared" si="11"/>
        <v>2005_3</v>
      </c>
      <c r="B5" s="30">
        <v>2005</v>
      </c>
      <c r="C5" s="5" t="s">
        <v>23</v>
      </c>
      <c r="D5" s="11">
        <v>190.3</v>
      </c>
      <c r="E5" s="11">
        <v>237.3</v>
      </c>
      <c r="F5" s="11">
        <v>259.7</v>
      </c>
      <c r="G5" s="11">
        <v>256</v>
      </c>
      <c r="H5" s="11">
        <v>235.8</v>
      </c>
      <c r="I5" s="11">
        <v>199.6</v>
      </c>
      <c r="J5" s="11">
        <v>219.4</v>
      </c>
      <c r="K5" s="11">
        <v>224</v>
      </c>
      <c r="L5" s="11">
        <v>286.29999999999995</v>
      </c>
      <c r="M5" s="11">
        <v>353.8</v>
      </c>
      <c r="N5" s="11">
        <v>417.2</v>
      </c>
      <c r="O5" s="11">
        <v>441.3</v>
      </c>
      <c r="P5" s="11">
        <v>364</v>
      </c>
      <c r="Q5" s="11">
        <v>351.2</v>
      </c>
      <c r="R5" s="11">
        <v>381.20000000000005</v>
      </c>
      <c r="S5" s="11">
        <v>352.9</v>
      </c>
      <c r="T5" s="11">
        <v>246.5</v>
      </c>
      <c r="U5" s="11">
        <v>137.30000000000001</v>
      </c>
      <c r="V5" s="11">
        <v>62.699999999999996</v>
      </c>
      <c r="W5" s="11">
        <v>8</v>
      </c>
      <c r="X5" s="11">
        <v>1</v>
      </c>
      <c r="Y5" s="11">
        <v>5225.4999999999991</v>
      </c>
      <c r="Z5" s="11">
        <f t="shared" si="12"/>
        <v>298.20000000000005</v>
      </c>
      <c r="AA5" s="11">
        <f t="shared" si="13"/>
        <v>155.07999999999998</v>
      </c>
      <c r="AB5" s="11">
        <f t="shared" si="0"/>
        <v>1540.8000000000002</v>
      </c>
      <c r="AC5" s="11">
        <f t="shared" si="14"/>
        <v>808.40000000000009</v>
      </c>
      <c r="AD5" s="15">
        <f t="shared" si="15"/>
        <v>0.29486173571907004</v>
      </c>
      <c r="AE5" s="15">
        <f t="shared" si="16"/>
        <v>0.15470289924409153</v>
      </c>
      <c r="AF5" s="11">
        <f t="shared" si="17"/>
        <v>878.8</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1.0914360888167143</v>
      </c>
      <c r="AN5" s="6">
        <f t="shared" si="1"/>
        <v>0.94366350152051126</v>
      </c>
      <c r="AO5" s="6">
        <f t="shared" si="1"/>
        <v>0.83182806626453365</v>
      </c>
      <c r="AP5" s="6">
        <f t="shared" si="1"/>
        <v>0.54733321679759794</v>
      </c>
      <c r="AQ5" s="6">
        <f t="shared" si="1"/>
        <v>0.85616929698708744</v>
      </c>
      <c r="AR5" s="6">
        <f t="shared" si="1"/>
        <v>0.90020611473720369</v>
      </c>
      <c r="AS5" s="6">
        <f t="shared" si="1"/>
        <v>0.89392538683451339</v>
      </c>
      <c r="AT5" s="6">
        <f t="shared" si="1"/>
        <v>1.0385444681443012</v>
      </c>
      <c r="AU5" s="6">
        <f t="shared" si="1"/>
        <v>0.98935601198117251</v>
      </c>
      <c r="AV5" s="6">
        <f t="shared" si="1"/>
        <v>0.99437272963155177</v>
      </c>
      <c r="AW5" s="6">
        <f t="shared" si="1"/>
        <v>0.99487078617684443</v>
      </c>
      <c r="AX5" s="6">
        <f t="shared" si="1"/>
        <v>0.97243275586961475</v>
      </c>
      <c r="AY5" s="6">
        <f t="shared" si="1"/>
        <v>0.97791142732350977</v>
      </c>
      <c r="AZ5" s="6">
        <f t="shared" si="1"/>
        <v>0.92505480523064199</v>
      </c>
      <c r="BA5" s="6">
        <f t="shared" si="1"/>
        <v>0.83907567813995909</v>
      </c>
      <c r="BB5" s="6">
        <f t="shared" si="1"/>
        <v>0.78770903010033444</v>
      </c>
      <c r="BC5" s="6">
        <f t="shared" si="1"/>
        <v>0.59328009209295629</v>
      </c>
      <c r="BD5" s="6">
        <f t="shared" si="1"/>
        <v>0.32950040148549636</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0.13949636491557221</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87.475777307682677</v>
      </c>
      <c r="BL5" s="16">
        <f t="shared" ref="BL5:CE5" si="46">BL3+BL4</f>
        <v>118.79654074456153</v>
      </c>
      <c r="BM5" s="16">
        <f t="shared" si="46"/>
        <v>128.72082573760093</v>
      </c>
      <c r="BN5" s="16">
        <f t="shared" si="46"/>
        <v>132.98365799888128</v>
      </c>
      <c r="BO5" s="16">
        <f t="shared" si="46"/>
        <v>86.801426949380982</v>
      </c>
      <c r="BP5" s="16">
        <f t="shared" si="46"/>
        <v>79.244656598943081</v>
      </c>
      <c r="BQ5" s="16">
        <f t="shared" si="46"/>
        <v>86.747209475097762</v>
      </c>
      <c r="BR5" s="16">
        <f t="shared" si="46"/>
        <v>103.60440737737551</v>
      </c>
      <c r="BS5" s="16">
        <f t="shared" si="46"/>
        <v>184.80288219540245</v>
      </c>
      <c r="BT5" s="16">
        <f t="shared" si="46"/>
        <v>182.88153318505283</v>
      </c>
      <c r="BU5" s="16">
        <f t="shared" si="46"/>
        <v>201.88197216093715</v>
      </c>
      <c r="BV5" s="16">
        <f t="shared" si="46"/>
        <v>200.71991427148362</v>
      </c>
      <c r="BW5" s="16">
        <f t="shared" si="46"/>
        <v>260.10097445432609</v>
      </c>
      <c r="BX5" s="16">
        <f t="shared" si="46"/>
        <v>314.7245695548288</v>
      </c>
      <c r="BY5" s="16">
        <f t="shared" si="46"/>
        <v>373.12354961426553</v>
      </c>
      <c r="BZ5" s="16">
        <f t="shared" si="46"/>
        <v>355.43882151234834</v>
      </c>
      <c r="CA5" s="16">
        <f t="shared" si="46"/>
        <v>226.55318618849907</v>
      </c>
      <c r="CB5" s="16">
        <f t="shared" si="46"/>
        <v>149.07289555250404</v>
      </c>
      <c r="CC5" s="16">
        <f t="shared" si="46"/>
        <v>89.648596204344756</v>
      </c>
      <c r="CD5" s="16">
        <f t="shared" si="46"/>
        <v>32.190854119943225</v>
      </c>
      <c r="CE5" s="16">
        <f t="shared" si="46"/>
        <v>2.9898044108782384</v>
      </c>
      <c r="CF5" s="11">
        <f>SUM(BK5:CE5)</f>
        <v>3398.5040556143376</v>
      </c>
      <c r="CG5" s="11">
        <f t="shared" si="20"/>
        <v>148.51041988929748</v>
      </c>
      <c r="CH5" s="11">
        <f t="shared" si="21"/>
        <v>78.085061894816619</v>
      </c>
      <c r="CI5" s="11">
        <f t="shared" si="3"/>
        <v>1543.7422771576119</v>
      </c>
      <c r="CJ5" s="11">
        <f t="shared" si="22"/>
        <v>855.89415798851758</v>
      </c>
      <c r="CK5" s="15">
        <f t="shared" si="23"/>
        <v>0.45424170514298651</v>
      </c>
      <c r="CL5" s="15">
        <f t="shared" si="24"/>
        <v>0.25184438328816416</v>
      </c>
      <c r="CM5" s="11">
        <f t="shared" si="25"/>
        <v>356.39770040079736</v>
      </c>
      <c r="CO5" s="7" t="str">
        <f t="shared" si="26"/>
        <v>2025_3</v>
      </c>
      <c r="CP5" s="30">
        <f>CP4</f>
        <v>2025</v>
      </c>
      <c r="CQ5" s="5" t="s">
        <v>23</v>
      </c>
      <c r="CR5" s="16">
        <f>CR3+CR4</f>
        <v>89.475777307682677</v>
      </c>
      <c r="CS5" s="16">
        <f t="shared" ref="CS5" si="47">CS3+CS4</f>
        <v>118.79654074456153</v>
      </c>
      <c r="CT5" s="16">
        <f t="shared" ref="CT5" si="48">CT3+CT4</f>
        <v>130.72082573760093</v>
      </c>
      <c r="CU5" s="16">
        <f t="shared" ref="CU5" si="49">CU3+CU4</f>
        <v>132.98365799888128</v>
      </c>
      <c r="CV5" s="16">
        <f t="shared" ref="CV5" si="50">CV3+CV4</f>
        <v>86.801426949380982</v>
      </c>
      <c r="CW5" s="16">
        <f t="shared" ref="CW5" si="51">CW3+CW4</f>
        <v>83.244656598943081</v>
      </c>
      <c r="CX5" s="16">
        <f t="shared" ref="CX5" si="52">CX3+CX4</f>
        <v>86.747209475097762</v>
      </c>
      <c r="CY5" s="16">
        <f t="shared" ref="CY5" si="53">CY3+CY4</f>
        <v>103.60440737737551</v>
      </c>
      <c r="CZ5" s="16">
        <f t="shared" ref="CZ5" si="54">CZ3+CZ4</f>
        <v>185.80288219540245</v>
      </c>
      <c r="DA5" s="16">
        <f t="shared" ref="DA5" si="55">DA3+DA4</f>
        <v>182.88153318505283</v>
      </c>
      <c r="DB5" s="16">
        <f t="shared" ref="DB5" si="56">DB3+DB4</f>
        <v>201.88197216093715</v>
      </c>
      <c r="DC5" s="16">
        <f t="shared" ref="DC5" si="57">DC3+DC4</f>
        <v>200.71991427148362</v>
      </c>
      <c r="DD5" s="16">
        <f t="shared" ref="DD5" si="58">DD3+DD4</f>
        <v>260.10097445432609</v>
      </c>
      <c r="DE5" s="16">
        <f t="shared" ref="DE5" si="59">DE3+DE4</f>
        <v>314.7245695548288</v>
      </c>
      <c r="DF5" s="16">
        <f t="shared" ref="DF5" si="60">DF3+DF4</f>
        <v>373.12354961426553</v>
      </c>
      <c r="DG5" s="16">
        <f t="shared" ref="DG5" si="61">DG3+DG4</f>
        <v>355.43882151234834</v>
      </c>
      <c r="DH5" s="16">
        <f t="shared" ref="DH5" si="62">DH3+DH4</f>
        <v>226.55318618849907</v>
      </c>
      <c r="DI5" s="16">
        <f t="shared" ref="DI5" si="63">DI3+DI4</f>
        <v>149.07289555250404</v>
      </c>
      <c r="DJ5" s="16">
        <f t="shared" ref="DJ5" si="64">DJ3+DJ4</f>
        <v>89.648596204344756</v>
      </c>
      <c r="DK5" s="16">
        <f t="shared" ref="DK5" si="65">DK3+DK4</f>
        <v>32.190854119943225</v>
      </c>
      <c r="DL5" s="16">
        <f t="shared" ref="DL5" si="66">DL3+DL4</f>
        <v>2.9898044108782384</v>
      </c>
      <c r="DM5" s="11">
        <f>SUM(CR5:DL5)</f>
        <v>3407.5040556143376</v>
      </c>
      <c r="DN5" s="11">
        <f t="shared" si="34"/>
        <v>149.7104198892975</v>
      </c>
      <c r="DO5" s="11">
        <f t="shared" si="35"/>
        <v>78.88506189481663</v>
      </c>
      <c r="DP5" s="11">
        <f t="shared" si="6"/>
        <v>1543.7422771576119</v>
      </c>
      <c r="DQ5" s="11">
        <f t="shared" si="36"/>
        <v>855.89415798851758</v>
      </c>
      <c r="DR5" s="15">
        <f t="shared" si="37"/>
        <v>0.45304194858230068</v>
      </c>
      <c r="DS5" s="15">
        <f t="shared" si="38"/>
        <v>0.25117920449083919</v>
      </c>
      <c r="DT5" s="11">
        <f>SUM(CV5:CY5)</f>
        <v>360.39770040079736</v>
      </c>
      <c r="DV5" s="289"/>
      <c r="DW5" s="290"/>
      <c r="DX5" s="30">
        <f>DX4</f>
        <v>2025</v>
      </c>
      <c r="DY5" s="5" t="s">
        <v>23</v>
      </c>
      <c r="DZ5" s="16">
        <f>DZ3+DZ4</f>
        <v>87.475777307682677</v>
      </c>
      <c r="EA5" s="16">
        <f t="shared" ref="EA5:ET5" si="67">EA3+EA4</f>
        <v>118.79654074456153</v>
      </c>
      <c r="EB5" s="16">
        <f t="shared" si="67"/>
        <v>128.72082573760093</v>
      </c>
      <c r="EC5" s="16">
        <f t="shared" si="67"/>
        <v>132.98365799888128</v>
      </c>
      <c r="ED5" s="16">
        <f t="shared" si="67"/>
        <v>86.801426949380982</v>
      </c>
      <c r="EE5" s="16">
        <f t="shared" si="67"/>
        <v>179.24465659894307</v>
      </c>
      <c r="EF5" s="16">
        <f t="shared" si="67"/>
        <v>186.74720947509775</v>
      </c>
      <c r="EG5" s="16">
        <f t="shared" si="67"/>
        <v>203.60440737737551</v>
      </c>
      <c r="EH5" s="16">
        <f t="shared" si="67"/>
        <v>184.80288219540245</v>
      </c>
      <c r="EI5" s="16">
        <f t="shared" si="67"/>
        <v>182.88153318505283</v>
      </c>
      <c r="EJ5" s="16">
        <f t="shared" si="67"/>
        <v>201.88197216093715</v>
      </c>
      <c r="EK5" s="16">
        <f t="shared" si="67"/>
        <v>200.71991427148362</v>
      </c>
      <c r="EL5" s="16">
        <f t="shared" si="67"/>
        <v>260.10097445432609</v>
      </c>
      <c r="EM5" s="16">
        <f t="shared" si="67"/>
        <v>314.7245695548288</v>
      </c>
      <c r="EN5" s="16">
        <f t="shared" si="67"/>
        <v>373.12354961426553</v>
      </c>
      <c r="EO5" s="16">
        <f t="shared" si="67"/>
        <v>355.43882151234834</v>
      </c>
      <c r="EP5" s="16">
        <f t="shared" si="67"/>
        <v>226.55318618849907</v>
      </c>
      <c r="EQ5" s="16">
        <f t="shared" si="67"/>
        <v>149.07289555250404</v>
      </c>
      <c r="ER5" s="16">
        <f t="shared" si="67"/>
        <v>89.648596204344756</v>
      </c>
      <c r="ES5" s="16">
        <f t="shared" si="67"/>
        <v>32.190854119943225</v>
      </c>
      <c r="ET5" s="16">
        <f t="shared" si="67"/>
        <v>2.9898044108782384</v>
      </c>
      <c r="EU5" s="11">
        <f>SUM(DZ5:ET5)</f>
        <v>3698.5040556143376</v>
      </c>
      <c r="EV5" s="11">
        <f t="shared" si="41"/>
        <v>148.51041988929748</v>
      </c>
      <c r="EW5" s="11">
        <f t="shared" si="42"/>
        <v>78.085061894816619</v>
      </c>
      <c r="EX5" s="11">
        <f t="shared" si="10"/>
        <v>1543.7422771576119</v>
      </c>
      <c r="EY5" s="11">
        <f t="shared" si="43"/>
        <v>855.89415798851758</v>
      </c>
      <c r="EZ5" s="15">
        <f t="shared" si="44"/>
        <v>0.41739639971847742</v>
      </c>
      <c r="FA5" s="15">
        <f t="shared" si="45"/>
        <v>0.23141630916674763</v>
      </c>
      <c r="FB5" s="11">
        <f>SUM(ED5:EG5)</f>
        <v>656.39770040079736</v>
      </c>
    </row>
    <row r="6" spans="1:158" x14ac:dyDescent="0.15">
      <c r="A6" s="7" t="str">
        <f t="shared" si="11"/>
        <v>2010_1</v>
      </c>
      <c r="B6" s="28">
        <v>2010</v>
      </c>
      <c r="C6" s="3" t="s">
        <v>21</v>
      </c>
      <c r="D6" s="9">
        <v>78.099999999999994</v>
      </c>
      <c r="E6" s="9">
        <v>117.9</v>
      </c>
      <c r="F6" s="9">
        <v>111.6</v>
      </c>
      <c r="G6" s="9">
        <v>118.6</v>
      </c>
      <c r="H6" s="9">
        <v>71.400000000000006</v>
      </c>
      <c r="I6" s="9">
        <v>120.7</v>
      </c>
      <c r="J6" s="9">
        <v>93</v>
      </c>
      <c r="K6" s="9">
        <v>105.2</v>
      </c>
      <c r="L6" s="9">
        <v>108.3</v>
      </c>
      <c r="M6" s="9">
        <v>131.6</v>
      </c>
      <c r="N6" s="9">
        <v>161.19999999999999</v>
      </c>
      <c r="O6" s="9">
        <v>214</v>
      </c>
      <c r="P6" s="9">
        <v>212.2</v>
      </c>
      <c r="Q6" s="9">
        <v>159.1</v>
      </c>
      <c r="R6" s="9">
        <v>160.5</v>
      </c>
      <c r="S6" s="9">
        <v>149.5</v>
      </c>
      <c r="T6" s="9">
        <v>101.7</v>
      </c>
      <c r="U6" s="9">
        <v>48.6</v>
      </c>
      <c r="V6" s="9">
        <v>20.8</v>
      </c>
      <c r="W6" s="9">
        <v>1</v>
      </c>
      <c r="X6" s="9">
        <v>1</v>
      </c>
      <c r="Y6" s="9">
        <v>2286</v>
      </c>
      <c r="Z6" s="9">
        <f t="shared" si="12"/>
        <v>137.69999999999999</v>
      </c>
      <c r="AA6" s="9">
        <f t="shared" si="13"/>
        <v>68.36</v>
      </c>
      <c r="AB6" s="9">
        <f t="shared" si="0"/>
        <v>642.20000000000005</v>
      </c>
      <c r="AC6" s="9">
        <f t="shared" si="14"/>
        <v>322.60000000000002</v>
      </c>
      <c r="AD6" s="13">
        <f t="shared" si="15"/>
        <v>0.28092738407699042</v>
      </c>
      <c r="AE6" s="13">
        <f t="shared" si="16"/>
        <v>0.14111986001749782</v>
      </c>
      <c r="AF6" s="9">
        <f t="shared" si="17"/>
        <v>390.3</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0.94901018706638185</v>
      </c>
      <c r="AN6" s="193">
        <f t="shared" si="18"/>
        <v>1.0002759773672951</v>
      </c>
      <c r="AO6" s="193">
        <f t="shared" si="18"/>
        <v>0.86940523448912599</v>
      </c>
      <c r="AP6" s="193">
        <f t="shared" si="18"/>
        <v>0.58294942568549946</v>
      </c>
      <c r="AQ6" s="193">
        <f t="shared" si="18"/>
        <v>0.90438094024269511</v>
      </c>
      <c r="AR6" s="193">
        <f t="shared" si="18"/>
        <v>0.95048552565384758</v>
      </c>
      <c r="AS6" s="193">
        <f t="shared" si="18"/>
        <v>0.96360304670027874</v>
      </c>
      <c r="AT6" s="193">
        <f t="shared" si="18"/>
        <v>1.0201667327519803</v>
      </c>
      <c r="AU6" s="193">
        <f t="shared" si="18"/>
        <v>0.9602181472311947</v>
      </c>
      <c r="AV6" s="193">
        <f t="shared" si="18"/>
        <v>0.94668558324296392</v>
      </c>
      <c r="AW6" s="193">
        <f t="shared" si="18"/>
        <v>0.96214035894757044</v>
      </c>
      <c r="AX6" s="193">
        <f t="shared" si="18"/>
        <v>1.010973411008415</v>
      </c>
      <c r="AY6" s="193">
        <f t="shared" si="18"/>
        <v>0.99720208341612193</v>
      </c>
      <c r="AZ6" s="193">
        <f t="shared" si="18"/>
        <v>0.96964872875848096</v>
      </c>
      <c r="BA6" s="193">
        <f t="shared" si="18"/>
        <v>0.95503338515935821</v>
      </c>
      <c r="BB6" s="193">
        <f t="shared" si="18"/>
        <v>0.82199116021130758</v>
      </c>
      <c r="BC6" s="193">
        <f t="shared" si="18"/>
        <v>0.76984455583741873</v>
      </c>
      <c r="BD6" s="193">
        <f t="shared" si="18"/>
        <v>0.5189068630583128</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0.30096315202052792</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9.5829998808084613E-2</v>
      </c>
      <c r="BH6" s="7" t="str">
        <f t="shared" si="19"/>
        <v>2030_1</v>
      </c>
      <c r="BI6" s="28">
        <f>管理者入力シート!B9</f>
        <v>2030</v>
      </c>
      <c r="BJ6" s="3" t="s">
        <v>21</v>
      </c>
      <c r="BK6" s="9">
        <f>CM7*$AK$13</f>
        <v>37.599205140548037</v>
      </c>
      <c r="BL6" s="9">
        <f>IF(管理者入力シート!$B$14=1,BK3*管理者用人口入力シート!AM$3,IF(管理者入力シート!$B$14=2,BK3*管理者用人口入力シート!AM$7))</f>
        <v>54.146157758461761</v>
      </c>
      <c r="BM6" s="9">
        <f>IF(管理者入力シート!$B$14=1,BL3*管理者用人口入力シート!AN$3,IF(管理者入力シート!$B$14=2,BL3*管理者用人口入力シート!AN$7))</f>
        <v>68.339091146877294</v>
      </c>
      <c r="BN6" s="9">
        <f>IF(管理者入力シート!$B$14=1,BM3*管理者用人口入力シート!AO$3,IF(管理者入力シート!$B$14=2,BM3*管理者用人口入力シート!AO$7))</f>
        <v>50.904073129028319</v>
      </c>
      <c r="BO6" s="9">
        <f>IF(管理者入力シート!$B$14=1,BN3*管理者用人口入力シート!AP$3,IF(管理者入力シート!$B$14=2,BN3*管理者用人口入力シート!AP$7))</f>
        <v>35.157679130205942</v>
      </c>
      <c r="BP6" s="9">
        <f>IF(管理者入力シート!$B$14=1,BO3*管理者用人口入力シート!AQ$3,IF(管理者入力シート!$B$14=2,BO3*管理者用人口入力シート!AQ$7))</f>
        <v>34.524682605404557</v>
      </c>
      <c r="BQ6" s="9">
        <f>IF(管理者入力シート!$B$14=1,BP3*管理者用人口入力シート!AR$3,IF(管理者入力シート!$B$14=2,BP3*管理者用人口入力シート!AR$7))</f>
        <v>32.559980501845594</v>
      </c>
      <c r="BR6" s="9">
        <f>IF(管理者入力シート!$B$14=1,BQ3*管理者用人口入力シート!AS$3,IF(管理者入力シート!$B$14=2,BQ3*管理者用人口入力シート!AS$7))</f>
        <v>40.94709829867503</v>
      </c>
      <c r="BS6" s="9">
        <f>IF(管理者入力シート!$B$14=1,BR3*管理者用人口入力シート!AT$3,IF(管理者入力シート!$B$14=2,BR3*管理者用人口入力シート!AT$7))</f>
        <v>51.601302800544651</v>
      </c>
      <c r="BT6" s="9">
        <f>IF(管理者入力シート!$B$14=1,BS3*管理者用人口入力シート!AU$3,IF(管理者入力シート!$B$14=2,BS3*管理者用人口入力シート!AU$7))</f>
        <v>103.87091403868892</v>
      </c>
      <c r="BU6" s="9">
        <f>IF(管理者入力シート!$B$14=1,BT3*管理者用人口入力シート!AV$3,IF(管理者入力シート!$B$14=2,BT3*管理者用人口入力シート!AV$7))</f>
        <v>85.368962001670795</v>
      </c>
      <c r="BV6" s="9">
        <f>IF(管理者入力シート!$B$14=1,BU3*管理者用人口入力シート!AW$3,IF(管理者入力シート!$B$14=2,BU3*管理者用人口入力シート!AW$7))</f>
        <v>100.12408995087517</v>
      </c>
      <c r="BW6" s="9">
        <f>IF(管理者入力シート!$B$14=1,BV3*管理者用人口入力シート!AX$3,IF(管理者入力シート!$B$14=2,BV3*管理者用人口入力シート!AX$7))</f>
        <v>90.461783817113059</v>
      </c>
      <c r="BX6" s="9">
        <f>IF(管理者入力シート!$B$14=1,BW3*管理者用人口入力シート!AY$3,IF(管理者入力シート!$B$14=2,BW3*管理者用人口入力シート!AY$7))</f>
        <v>122.56695221038329</v>
      </c>
      <c r="BY6" s="9">
        <f>IF(管理者入力シート!$B$14=1,BX3*管理者用人口入力シート!AZ$3,IF(管理者入力シート!$B$14=2,BX3*管理者用人口入力シート!AZ$7))</f>
        <v>140.06558187976975</v>
      </c>
      <c r="BZ6" s="9">
        <f>IF(管理者入力シート!$B$14=1,BY3*管理者用人口入力シート!BA$3,IF(管理者入力シート!$B$14=2,BY3*管理者用人口入力シート!BA$7))</f>
        <v>157.76805151001292</v>
      </c>
      <c r="CA6" s="9">
        <f>IF(管理者入力シート!$B$14=1,BZ3*管理者用人口入力シート!BB$3,IF(管理者入力シート!$B$14=2,BZ3*管理者用人口入力シート!BB$7))</f>
        <v>126.58450630154232</v>
      </c>
      <c r="CB6" s="9">
        <f>IF(管理者入力シート!$B$14=1,CA3*管理者用人口入力シート!BC$3,IF(管理者入力シート!$B$14=2,CA3*管理者用人口入力シート!BC$7))</f>
        <v>51.722271415741979</v>
      </c>
      <c r="CC6" s="9">
        <f>IF(管理者入力シート!$B$14=1,CB3*管理者用人口入力シート!BD$3,IF(管理者入力シート!$B$14=2,CB3*管理者用人口入力シート!BD$7))</f>
        <v>21.327040193317664</v>
      </c>
      <c r="CD6" s="9">
        <f>IF(管理者入力シート!$B$14=1,CC3*管理者用人口入力シート!BE$3,IF(管理者入力シート!$B$14=2,CC3*管理者用人口入力シート!BE$7))</f>
        <v>2.9860387786072922</v>
      </c>
      <c r="CE6" s="9">
        <f>IF(管理者入力シート!$B$14=1,CD3*管理者用人口入力シート!BF$3,IF(管理者入力シート!$B$14=2,CD3*管理者用人口入力シート!BF$7))</f>
        <v>7.083239021199296E-2</v>
      </c>
      <c r="CF6" s="9">
        <f t="shared" si="2"/>
        <v>1408.6962949995263</v>
      </c>
      <c r="CG6" s="9">
        <f t="shared" si="20"/>
        <v>73.491149343203432</v>
      </c>
      <c r="CH6" s="9">
        <f t="shared" si="21"/>
        <v>37.516451084556579</v>
      </c>
      <c r="CI6" s="9">
        <f t="shared" si="3"/>
        <v>623.09127467958717</v>
      </c>
      <c r="CJ6" s="9">
        <f t="shared" si="22"/>
        <v>360.45874058943417</v>
      </c>
      <c r="CK6" s="13">
        <f t="shared" si="23"/>
        <v>0.44231767833235958</v>
      </c>
      <c r="CL6" s="13">
        <f t="shared" si="24"/>
        <v>0.25588108797400888</v>
      </c>
      <c r="CM6" s="9">
        <f t="shared" si="25"/>
        <v>143.18944053613112</v>
      </c>
      <c r="CO6" s="7" t="str">
        <f t="shared" si="26"/>
        <v>2030_1</v>
      </c>
      <c r="CP6" s="28">
        <f>管理者入力シート!B9</f>
        <v>2030</v>
      </c>
      <c r="CQ6" s="3" t="s">
        <v>21</v>
      </c>
      <c r="CR6" s="9">
        <f>DT7*$AK$13+将来予測シート②!$G17</f>
        <v>39.52416855250933</v>
      </c>
      <c r="CS6" s="9">
        <f>IF(管理者入力シート!$B$14=1,CR3*管理者用人口入力シート!AM$3,IF(管理者入力シート!$B$14=2,CR3*管理者用人口入力シート!AM$7))+将来予測シート②!$G18</f>
        <v>55.304513415014497</v>
      </c>
      <c r="CT6" s="9">
        <f>IF(管理者入力シート!$B$14=1,CS3*管理者用人口入力シート!AN$3,IF(管理者入力シート!$B$14=2,CS3*管理者用人口入力シート!AN$7))+将来予測シート②!$G19</f>
        <v>69.339091146877294</v>
      </c>
      <c r="CU6" s="9">
        <f>IF(管理者入力シート!$B$14=1,CT3*管理者用人口入力シート!AO$3,IF(管理者入力シート!$B$14=2,CT3*管理者用人口入力シート!AO$7))+将来予測シート②!$G20</f>
        <v>51.686063575940764</v>
      </c>
      <c r="CV6" s="9">
        <f>IF(管理者入力シート!$B$14=1,CU3*管理者用人口入力シート!AP$3,IF(管理者入力シート!$B$14=2,CU3*管理者用人口入力シート!AP$7))+将来予測シート②!$G21</f>
        <v>35.157679130205942</v>
      </c>
      <c r="CW6" s="9">
        <f>IF(管理者入力シート!$B$14=1,CV3*管理者用人口入力シート!AQ$3,IF(管理者入力シート!$B$14=2,CV3*管理者用人口入力シート!AQ$7))+将来予測シート②!$G22</f>
        <v>36.524682605404557</v>
      </c>
      <c r="CX6" s="9">
        <f>IF(管理者入力シート!$B$14=1,CW3*管理者用人口入力シート!AR$3,IF(管理者入力シート!$B$14=2,CW3*管理者用人口入力シート!AR$7))+将来予測シート②!$G23</f>
        <v>34.335151973374693</v>
      </c>
      <c r="CY6" s="9">
        <f>IF(管理者入力シート!$B$14=1,CX3*管理者用人口入力シート!AS$3,IF(管理者入力シート!$B$14=2,CX3*管理者用人口入力シート!AS$7))+将来予測シート②!$G24</f>
        <v>40.94709829867503</v>
      </c>
      <c r="CZ6" s="9">
        <f>IF(管理者入力シート!$B$14=1,CY3*管理者用人口入力シート!AT$3,IF(管理者入力シート!$B$14=2,CY3*管理者用人口入力シート!AT$7))+将来予測シート②!$G25</f>
        <v>51.601302800544651</v>
      </c>
      <c r="DA6" s="9">
        <f>IF(管理者入力シート!$B$14=1,CZ3*管理者用人口入力シート!AU$3,IF(管理者入力シート!$B$14=2,CZ3*管理者用人口入力シート!AU$7))+将来予測シート②!$G26</f>
        <v>103.87091403868892</v>
      </c>
      <c r="DB6" s="9">
        <f>IF(管理者入力シート!$B$14=1,DA3*管理者用人口入力シート!AV$3,IF(管理者入力シート!$B$14=2,DA3*管理者用人口入力シート!AV$7))+将来予測シート②!$G27</f>
        <v>85.368962001670795</v>
      </c>
      <c r="DC6" s="9">
        <f>IF(管理者入力シート!$B$14=1,DB3*管理者用人口入力シート!AW$3,IF(管理者入力シート!$B$14=2,DB3*管理者用人口入力シート!AW$7))+将来予測シート②!$G28</f>
        <v>100.12408995087517</v>
      </c>
      <c r="DD6" s="9">
        <f>IF(管理者入力シート!$B$14=1,DC3*管理者用人口入力シート!AX$3,IF(管理者入力シート!$B$14=2,DC3*管理者用人口入力シート!AX$7))+将来予測シート②!$G29</f>
        <v>90.461783817113059</v>
      </c>
      <c r="DE6" s="9">
        <f>IF(管理者入力シート!$B$14=1,DD3*管理者用人口入力シート!AY$3,IF(管理者入力シート!$B$14=2,DD3*管理者用人口入力シート!AY$7))</f>
        <v>122.56695221038329</v>
      </c>
      <c r="DF6" s="9">
        <f>IF(管理者入力シート!$B$14=1,DE3*管理者用人口入力シート!AZ$3,IF(管理者入力シート!$B$14=2,DE3*管理者用人口入力シート!AZ$7))</f>
        <v>140.06558187976975</v>
      </c>
      <c r="DG6" s="9">
        <f>IF(管理者入力シート!$B$14=1,DF3*管理者用人口入力シート!BA$3,IF(管理者入力シート!$B$14=2,DF3*管理者用人口入力シート!BA$7))</f>
        <v>157.76805151001292</v>
      </c>
      <c r="DH6" s="9">
        <f>IF(管理者入力シート!$B$14=1,DG3*管理者用人口入力シート!BB$3,IF(管理者入力シート!$B$14=2,DG3*管理者用人口入力シート!BB$7))</f>
        <v>126.58450630154232</v>
      </c>
      <c r="DI6" s="9">
        <f>IF(管理者入力シート!$B$14=1,DH3*管理者用人口入力シート!BC$3,IF(管理者入力シート!$B$14=2,DH3*管理者用人口入力シート!BC$7))</f>
        <v>51.722271415741979</v>
      </c>
      <c r="DJ6" s="9">
        <f>IF(管理者入力シート!$B$14=1,DI3*管理者用人口入力シート!BD$3,IF(管理者入力シート!$B$14=2,DI3*管理者用人口入力シート!BD$7))</f>
        <v>21.327040193317664</v>
      </c>
      <c r="DK6" s="9">
        <f>IF(管理者入力シート!$B$14=1,DJ3*管理者用人口入力シート!BE$3,IF(管理者入力シート!$B$14=2,DJ3*管理者用人口入力シート!BE$7))</f>
        <v>2.9860387786072922</v>
      </c>
      <c r="DL6" s="9">
        <f>IF(管理者入力シート!$B$14=1,DK3*管理者用人口入力シート!BF$3,IF(管理者入力シート!$B$14=2,DK3*管理者用人口入力シート!BF$7))</f>
        <v>7.083239021199296E-2</v>
      </c>
      <c r="DM6" s="9">
        <f t="shared" ref="DM6:DM14" si="68">SUM(CR6:DL6)</f>
        <v>1417.3367759864818</v>
      </c>
      <c r="DN6" s="9">
        <f t="shared" si="34"/>
        <v>74.786162737135072</v>
      </c>
      <c r="DO6" s="9">
        <f t="shared" si="35"/>
        <v>38.072849173939069</v>
      </c>
      <c r="DP6" s="9">
        <f t="shared" si="6"/>
        <v>623.09127467958717</v>
      </c>
      <c r="DQ6" s="9">
        <f t="shared" si="36"/>
        <v>360.45874058943417</v>
      </c>
      <c r="DR6" s="13">
        <f t="shared" si="37"/>
        <v>0.43962118618273266</v>
      </c>
      <c r="DS6" s="13">
        <f t="shared" si="38"/>
        <v>0.25432116536914873</v>
      </c>
      <c r="DT6" s="9">
        <f t="shared" ref="DT6:DT14" si="69">SUM(CV6:CY6)</f>
        <v>146.96461200766021</v>
      </c>
      <c r="DV6" s="7" t="s">
        <v>400</v>
      </c>
      <c r="DX6" s="28">
        <f>管理者入力シート!B9</f>
        <v>2030</v>
      </c>
      <c r="DY6" s="3" t="s">
        <v>21</v>
      </c>
      <c r="DZ6" s="9">
        <f>FB7*$AK$13</f>
        <v>98.316003585623378</v>
      </c>
      <c r="EA6" s="129">
        <f>IF(管理者入力シート!$B$14=1,DZ3*管理者用人口入力シート!AM$3,IF(管理者入力シート!$B$14=2,DZ3*管理者用人口入力シート!AM$7))</f>
        <v>54.146157758461761</v>
      </c>
      <c r="EB6" s="9">
        <f>IF(管理者入力シート!$B$14=1,EA3*管理者用人口入力シート!AN$3,IF(管理者入力シート!$B$14=2,EA3*管理者用人口入力シート!AN$7))</f>
        <v>68.339091146877294</v>
      </c>
      <c r="EC6" s="9">
        <f>IF(管理者入力シート!$B$14=1,EB3*管理者用人口入力シート!AO$3,IF(管理者入力シート!$B$14=2,EB3*管理者用人口入力シート!AO$7))</f>
        <v>50.904073129028319</v>
      </c>
      <c r="ED6" s="9">
        <f>IF(管理者入力シート!$B$14=1,EC3*管理者用人口入力シート!AP$3,IF(管理者入力シート!$B$14=2,EC3*管理者用人口入力シート!AP$7))</f>
        <v>35.157679130205942</v>
      </c>
      <c r="EE6" s="9">
        <f>IF(管理者入力シート!$B$14=1,ED3*管理者用人口入力シート!AQ$3,IF(管理者入力シート!$B$14=2,ED3*管理者用人口入力シート!AQ$7))+DX1</f>
        <v>84.524682605404564</v>
      </c>
      <c r="EF6" s="9">
        <f>IF(管理者入力シート!$B$14=1,EE3*管理者用人口入力シート!AR$3,IF(管理者入力シート!$B$14=2,EE3*管理者用人口入力シート!AR$7))+DX1</f>
        <v>126.93926729007295</v>
      </c>
      <c r="EG6" s="9">
        <f>IF(管理者入力シート!$B$14=1,EF3*管理者用人口入力シート!AS$3,IF(管理者入力シート!$B$14=2,EF3*管理者用人口入力シート!AS$7))+DX1</f>
        <v>135.77455286193796</v>
      </c>
      <c r="EH6" s="9">
        <f>IF(管理者入力シート!$B$14=1,EG3*管理者用人口入力シート!AT$3,IF(管理者入力シート!$B$14=2,EG3*管理者用人口入力シート!AT$7))</f>
        <v>105.39359677521955</v>
      </c>
      <c r="EI6" s="9">
        <f>IF(管理者入力シート!$B$14=1,EH3*管理者用人口入力シート!AU$3,IF(管理者入力シート!$B$14=2,EH3*管理者用人口入力シート!AU$7))</f>
        <v>103.87091403868892</v>
      </c>
      <c r="EJ6" s="9">
        <f>IF(管理者入力シート!$B$14=1,EI3*管理者用人口入力シート!AV$3,IF(管理者入力シート!$B$14=2,EI3*管理者用人口入力シート!AV$7))</f>
        <v>85.368962001670795</v>
      </c>
      <c r="EK6" s="9">
        <f>IF(管理者入力シート!$B$14=1,EJ3*管理者用人口入力シート!AW$3,IF(管理者入力シート!$B$14=2,EJ3*管理者用人口入力シート!AW$7))</f>
        <v>100.12408995087517</v>
      </c>
      <c r="EL6" s="9">
        <f>IF(管理者入力シート!$B$14=1,EK3*管理者用人口入力シート!AX$3,IF(管理者入力シート!$B$14=2,EK3*管理者用人口入力シート!AX$7))</f>
        <v>90.461783817113059</v>
      </c>
      <c r="EM6" s="9">
        <f>IF(管理者入力シート!$B$14=1,EL3*管理者用人口入力シート!AY$3,IF(管理者入力シート!$B$14=2,EL3*管理者用人口入力シート!AY$7))</f>
        <v>122.56695221038329</v>
      </c>
      <c r="EN6" s="9">
        <f>IF(管理者入力シート!$B$14=1,EM3*管理者用人口入力シート!AZ$3,IF(管理者入力シート!$B$14=2,EM3*管理者用人口入力シート!AZ$7))</f>
        <v>140.06558187976975</v>
      </c>
      <c r="EO6" s="9">
        <f>IF(管理者入力シート!$B$14=1,EN3*管理者用人口入力シート!BA$3,IF(管理者入力シート!$B$14=2,EN3*管理者用人口入力シート!BA$7))</f>
        <v>157.76805151001292</v>
      </c>
      <c r="EP6" s="9">
        <f>IF(管理者入力シート!$B$14=1,EO3*管理者用人口入力シート!BB$3,IF(管理者入力シート!$B$14=2,EO3*管理者用人口入力シート!BB$7))</f>
        <v>126.58450630154232</v>
      </c>
      <c r="EQ6" s="9">
        <f>IF(管理者入力シート!$B$14=1,EP3*管理者用人口入力シート!BC$3,IF(管理者入力シート!$B$14=2,EP3*管理者用人口入力シート!BC$7))</f>
        <v>51.722271415741979</v>
      </c>
      <c r="ER6" s="9">
        <f>IF(管理者入力シート!$B$14=1,EQ3*管理者用人口入力シート!BD$3,IF(管理者入力シート!$B$14=2,EQ3*管理者用人口入力シート!BD$7))</f>
        <v>21.327040193317664</v>
      </c>
      <c r="ES6" s="9">
        <f>IF(管理者入力シート!$B$14=1,ER3*管理者用人口入力シート!BE$3,IF(管理者入力シート!$B$14=2,ER3*管理者用人口入力シート!BE$7))</f>
        <v>2.9860387786072922</v>
      </c>
      <c r="ET6" s="9">
        <f>IF(管理者入力シート!$B$14=1,ES3*管理者用人口入力シート!BF$3,IF(管理者入力シート!$B$14=2,ES3*管理者用人口入力シート!BF$7))</f>
        <v>7.083239021199296E-2</v>
      </c>
      <c r="EU6" s="9">
        <f t="shared" ref="EU6:EU14" si="70">SUM(DZ6:ET6)</f>
        <v>1762.4121287707667</v>
      </c>
      <c r="EV6" s="9">
        <f t="shared" si="41"/>
        <v>73.491149343203432</v>
      </c>
      <c r="EW6" s="9">
        <f t="shared" si="42"/>
        <v>37.516451084556579</v>
      </c>
      <c r="EX6" s="9">
        <f t="shared" si="10"/>
        <v>623.09127467958717</v>
      </c>
      <c r="EY6" s="9">
        <f t="shared" si="43"/>
        <v>360.45874058943417</v>
      </c>
      <c r="EZ6" s="13">
        <f t="shared" si="44"/>
        <v>0.35354459068218963</v>
      </c>
      <c r="FA6" s="13">
        <f t="shared" si="45"/>
        <v>0.20452579433894619</v>
      </c>
      <c r="FB6" s="9">
        <f t="shared" ref="FB6:FB14" si="71">SUM(ED6:EG6)</f>
        <v>382.39618188762142</v>
      </c>
    </row>
    <row r="7" spans="1:158" x14ac:dyDescent="0.15">
      <c r="A7" s="7" t="str">
        <f t="shared" si="11"/>
        <v>2010_2</v>
      </c>
      <c r="B7" s="29">
        <v>2010</v>
      </c>
      <c r="C7" s="4" t="s">
        <v>22</v>
      </c>
      <c r="D7" s="10">
        <v>82.4</v>
      </c>
      <c r="E7" s="10">
        <v>101</v>
      </c>
      <c r="F7" s="10">
        <v>113.9</v>
      </c>
      <c r="G7" s="10">
        <v>102.2</v>
      </c>
      <c r="H7" s="10">
        <v>89.9</v>
      </c>
      <c r="I7" s="10">
        <v>86.7</v>
      </c>
      <c r="J7" s="10">
        <v>98.2</v>
      </c>
      <c r="K7" s="10">
        <v>106.2</v>
      </c>
      <c r="L7" s="10">
        <v>121.9</v>
      </c>
      <c r="M7" s="10">
        <v>146.69999999999999</v>
      </c>
      <c r="N7" s="10">
        <v>174</v>
      </c>
      <c r="O7" s="10">
        <v>196</v>
      </c>
      <c r="P7" s="10">
        <v>220.8</v>
      </c>
      <c r="Q7" s="10">
        <v>190</v>
      </c>
      <c r="R7" s="10">
        <v>171.1</v>
      </c>
      <c r="S7" s="10">
        <v>192.1</v>
      </c>
      <c r="T7" s="10">
        <v>185.6</v>
      </c>
      <c r="U7" s="10">
        <v>126</v>
      </c>
      <c r="V7" s="10">
        <v>52.9</v>
      </c>
      <c r="W7" s="10">
        <v>20.9</v>
      </c>
      <c r="X7" s="10">
        <v>0</v>
      </c>
      <c r="Y7" s="10">
        <v>2578.5</v>
      </c>
      <c r="Z7" s="10">
        <f t="shared" si="12"/>
        <v>128.94</v>
      </c>
      <c r="AA7" s="10">
        <f t="shared" si="13"/>
        <v>66</v>
      </c>
      <c r="AB7" s="10">
        <f t="shared" si="0"/>
        <v>938.6</v>
      </c>
      <c r="AC7" s="10">
        <f t="shared" si="14"/>
        <v>577.5</v>
      </c>
      <c r="AD7" s="14">
        <f t="shared" si="15"/>
        <v>0.36401008338181112</v>
      </c>
      <c r="AE7" s="14">
        <f t="shared" si="16"/>
        <v>0.2239674229203025</v>
      </c>
      <c r="AF7" s="10">
        <f t="shared" si="17"/>
        <v>381</v>
      </c>
      <c r="AH7" s="7"/>
      <c r="AI7" s="28" t="s">
        <v>88</v>
      </c>
      <c r="AJ7" s="3">
        <f>管理者入力シート!B7</f>
        <v>2010</v>
      </c>
      <c r="AK7" s="3">
        <f>管理者入力シート!B5</f>
        <v>2020</v>
      </c>
      <c r="AL7" s="31" t="s">
        <v>21</v>
      </c>
      <c r="AM7" s="48">
        <f t="shared" ref="AM7:BF8" si="72">IF(AND(AM3&gt;0,AM5&gt;0),SQRT(AM3*AM5),IF(AND(AM3=0,AM5&gt;0),SQRT(0.001*AM5),IF(AND(AM3&gt;0,AM5=0),SQRT(AM3*0.001),IF(AND(AM3=0,AM5=0),SQRT(0.001*0.001)))))</f>
        <v>1.1583556565527349</v>
      </c>
      <c r="AN7" s="48">
        <f t="shared" si="72"/>
        <v>0.98558492864904512</v>
      </c>
      <c r="AO7" s="48">
        <f t="shared" si="72"/>
        <v>0.78199044691244179</v>
      </c>
      <c r="AP7" s="48">
        <f t="shared" si="72"/>
        <v>0.51238741869471305</v>
      </c>
      <c r="AQ7" s="48">
        <f t="shared" si="72"/>
        <v>0.82381737735238614</v>
      </c>
      <c r="AR7" s="48">
        <f t="shared" si="72"/>
        <v>0.88758573576454713</v>
      </c>
      <c r="AS7" s="48">
        <f t="shared" si="72"/>
        <v>0.89654909126525872</v>
      </c>
      <c r="AT7" s="48">
        <f t="shared" si="72"/>
        <v>1.075845879493498</v>
      </c>
      <c r="AU7" s="48">
        <f t="shared" si="72"/>
        <v>0.98820668050893778</v>
      </c>
      <c r="AV7" s="48">
        <f t="shared" si="72"/>
        <v>0.9323800465810147</v>
      </c>
      <c r="AW7" s="48">
        <f t="shared" si="72"/>
        <v>0.99577633405388077</v>
      </c>
      <c r="AX7" s="48">
        <f t="shared" si="72"/>
        <v>0.96980754116074974</v>
      </c>
      <c r="AY7" s="48">
        <f t="shared" si="72"/>
        <v>0.96900454193606644</v>
      </c>
      <c r="AZ7" s="48">
        <f t="shared" si="72"/>
        <v>0.9318850985471786</v>
      </c>
      <c r="BA7" s="48">
        <f t="shared" si="72"/>
        <v>0.84728835525894641</v>
      </c>
      <c r="BB7" s="48">
        <f t="shared" si="72"/>
        <v>0.76691484246250508</v>
      </c>
      <c r="BC7" s="48">
        <f t="shared" si="72"/>
        <v>0.53558876722645155</v>
      </c>
      <c r="BD7" s="48">
        <f t="shared" si="72"/>
        <v>0.3959993711238381</v>
      </c>
      <c r="BE7" s="48">
        <f t="shared" si="72"/>
        <v>0.13243134376038568</v>
      </c>
      <c r="BF7" s="48">
        <f t="shared" si="72"/>
        <v>1.8626331951662148E-2</v>
      </c>
      <c r="BH7" s="7" t="str">
        <f t="shared" si="19"/>
        <v>2030_2</v>
      </c>
      <c r="BI7" s="29">
        <f>BI6</f>
        <v>2030</v>
      </c>
      <c r="BJ7" s="4" t="s">
        <v>22</v>
      </c>
      <c r="BK7" s="10">
        <f>CM7*$AK$14</f>
        <v>32.763212561594329</v>
      </c>
      <c r="BL7" s="10">
        <f>IF(管理者入力シート!$B$14=1,BK4*管理者用人口入力シート!AM$4,IF(管理者入力シート!$B$14=2,BK4*管理者用人口入力シート!AM$8))</f>
        <v>38.621436418148576</v>
      </c>
      <c r="BM7" s="10">
        <f>IF(管理者入力シート!$B$14=1,BL4*管理者用人口入力シート!AN$4,IF(管理者入力シート!$B$14=2,BL4*管理者用人口入力シート!AN$8))</f>
        <v>48.714803051523766</v>
      </c>
      <c r="BN7" s="10">
        <f>IF(管理者入力シート!$B$14=1,BM4*管理者用人口入力シート!AO$4,IF(管理者入力シート!$B$14=2,BM4*管理者用人口入力シート!AO$8))</f>
        <v>53.997443457719903</v>
      </c>
      <c r="BO7" s="10">
        <f>IF(管理者入力シート!$B$14=1,BN4*管理者用人口入力シート!AP$4,IF(管理者入力シート!$B$14=2,BN4*管理者用人口入力シート!AP$8))</f>
        <v>34.52606692135808</v>
      </c>
      <c r="BP7" s="10">
        <f>IF(管理者入力シート!$B$14=1,BO4*管理者用人口入力シート!AQ$4,IF(管理者入力シート!$B$14=2,BO4*管理者用人口入力シート!AQ$8))</f>
        <v>39.095408351381472</v>
      </c>
      <c r="BQ7" s="10">
        <f>IF(管理者入力シート!$B$14=1,BP4*管理者用人口入力シート!AR$4,IF(管理者入力シート!$B$14=2,BP4*管理者用人口入力シート!AR$8))</f>
        <v>34.992253490193526</v>
      </c>
      <c r="BR7" s="10">
        <f>IF(管理者入力シート!$B$14=1,BQ4*管理者用人口入力シート!AS$4,IF(管理者入力シート!$B$14=2,BQ4*管理者用人口入力シート!AS$8))</f>
        <v>39.526418389454705</v>
      </c>
      <c r="BS7" s="10">
        <f>IF(管理者入力シート!$B$14=1,BR4*管理者用人口入力シート!AT$4,IF(管理者入力シート!$B$14=2,BR4*管理者用人口入力シート!AT$8))</f>
        <v>55.992714558058594</v>
      </c>
      <c r="BT7" s="10">
        <f>IF(管理者入力シート!$B$14=1,BS4*管理者用人口入力シート!AU$4,IF(管理者入力シート!$B$14=2,BS4*管理者用人口入力シート!AU$8))</f>
        <v>77.477568795191786</v>
      </c>
      <c r="BU7" s="10">
        <f>IF(管理者入力シート!$B$14=1,BT4*管理者用人口入力シート!AV$4,IF(管理者入力シート!$B$14=2,BT4*管理者用人口入力シート!AV$8))</f>
        <v>86.771959356675623</v>
      </c>
      <c r="BV7" s="10">
        <f>IF(管理者入力シート!$B$14=1,BU4*管理者用人口入力シート!AW$4,IF(管理者入力シート!$B$14=2,BU4*管理者用人口入力シート!AW$8))</f>
        <v>97.530937411833634</v>
      </c>
      <c r="BW7" s="10">
        <f>IF(管理者入力シート!$B$14=1,BV4*管理者用人口入力シート!AX$4,IF(管理者入力シート!$B$14=2,BV4*管理者用人口入力シート!AX$8))</f>
        <v>107.36060868840353</v>
      </c>
      <c r="BX7" s="10">
        <f>IF(管理者入力シート!$B$14=1,BW4*管理者用人口入力シート!AY$4,IF(管理者入力シート!$B$14=2,BW4*管理者用人口入力シート!AY$8))</f>
        <v>132.86688456305063</v>
      </c>
      <c r="BY7" s="10">
        <f>IF(管理者入力シート!$B$14=1,BX4*管理者用人口入力シート!AZ$4,IF(管理者入力シート!$B$14=2,BX4*管理者用人口入力シート!AZ$8))</f>
        <v>156.41120064327527</v>
      </c>
      <c r="BZ7" s="10">
        <f>IF(管理者入力シート!$B$14=1,BY4*管理者用人口入力シート!BA$4,IF(管理者入力シート!$B$14=2,BY4*管理者用人口入力シート!BA$8))</f>
        <v>173.17824295642183</v>
      </c>
      <c r="CA7" s="10">
        <f>IF(管理者入力シート!$B$14=1,BZ4*管理者用人口入力シート!BB$4,IF(管理者入力シート!$B$14=2,BZ4*管理者用人口入力シート!BB$8))</f>
        <v>149.44655071689644</v>
      </c>
      <c r="CB7" s="10">
        <f>IF(管理者入力シート!$B$14=1,CA4*管理者用人口入力シート!BC$4,IF(管理者入力シート!$B$14=2,CA4*管理者用人口入力シート!BC$8))</f>
        <v>101.03593197305592</v>
      </c>
      <c r="CC7" s="10">
        <f>IF(管理者入力シート!$B$14=1,CB4*管理者用人口入力シート!BD$4,IF(管理者入力シート!$B$14=2,CB4*管理者用人口入力シート!BD$8))</f>
        <v>51.554406525034807</v>
      </c>
      <c r="CD7" s="10">
        <f>IF(管理者入力シート!$B$14=1,CC4*管理者用人口入力シート!BE$4,IF(管理者入力シート!$B$14=2,CC4*管理者用人口入力シート!BE$8))</f>
        <v>23.59747769978307</v>
      </c>
      <c r="CE7" s="10">
        <f>IF(管理者入力シート!$B$14=1,CD4*管理者用人口入力シート!BF$4,IF(管理者入力シート!$B$14=2,CD4*管理者用人口入力シート!BF$8))</f>
        <v>3.1194192476415177</v>
      </c>
      <c r="CF7" s="10">
        <f t="shared" si="2"/>
        <v>1538.580945776697</v>
      </c>
      <c r="CG7" s="10">
        <f t="shared" si="20"/>
        <v>52.401743681803403</v>
      </c>
      <c r="CH7" s="10">
        <f t="shared" si="21"/>
        <v>30.285409912153487</v>
      </c>
      <c r="CI7" s="10">
        <f t="shared" si="3"/>
        <v>791.21011432515945</v>
      </c>
      <c r="CJ7" s="10">
        <f t="shared" si="22"/>
        <v>501.93202911883361</v>
      </c>
      <c r="CK7" s="14">
        <f t="shared" si="23"/>
        <v>0.51424666118281193</v>
      </c>
      <c r="CL7" s="14">
        <f t="shared" si="24"/>
        <v>0.32623049862706532</v>
      </c>
      <c r="CM7" s="10">
        <f t="shared" si="25"/>
        <v>148.14014715238778</v>
      </c>
      <c r="CO7" s="7" t="str">
        <f t="shared" si="26"/>
        <v>2030_2</v>
      </c>
      <c r="CP7" s="29">
        <f>CP6</f>
        <v>2030</v>
      </c>
      <c r="CQ7" s="4" t="s">
        <v>22</v>
      </c>
      <c r="CR7" s="10">
        <f>DT7*$AK$14+将来予測シート②!$H17</f>
        <v>34.569207602300764</v>
      </c>
      <c r="CS7" s="10">
        <f>IF(管理者入力シート!$B$14=1,CR4*管理者用人口入力シート!AM$4,IF(管理者入力シート!$B$14=2,CR4*管理者用人口入力シート!AM$8))+将来予測シート②!$H18</f>
        <v>39.569625359956184</v>
      </c>
      <c r="CT7" s="10">
        <f>IF(管理者入力シート!$B$14=1,CS4*管理者用人口入力シート!AN$4,IF(管理者入力シート!$B$14=2,CS4*管理者用人口入力シート!AN$8))+将来予測シート②!$H19</f>
        <v>49.714803051523766</v>
      </c>
      <c r="CU7" s="10">
        <f>IF(管理者入力シート!$B$14=1,CT4*管理者用人口入力シート!AO$4,IF(管理者入力シート!$B$14=2,CT4*管理者用人口入力シート!AO$8))+将来予測シート②!$H20</f>
        <v>54.846122156288693</v>
      </c>
      <c r="CV7" s="10">
        <f>IF(管理者入力シート!$B$14=1,CU4*管理者用人口入力シート!AP$4,IF(管理者入力シート!$B$14=2,CU4*管理者用人口入力シート!AP$8))+将来予測シート②!$H21</f>
        <v>34.52606692135808</v>
      </c>
      <c r="CW7" s="10">
        <f>IF(管理者入力シート!$B$14=1,CV4*管理者用人口入力シート!AQ$4,IF(管理者入力シート!$B$14=2,CV4*管理者用人口入力シート!AQ$8))+将来予測シート②!$H22</f>
        <v>41.095408351381472</v>
      </c>
      <c r="CX7" s="10">
        <f>IF(管理者入力シート!$B$14=1,CW4*管理者用人口入力シート!AR$4,IF(管理者入力シート!$B$14=2,CW4*管理者用人口入力シート!AR$8))+将来予測シート②!$H23</f>
        <v>36.636591593786832</v>
      </c>
      <c r="CY7" s="10">
        <f>IF(管理者入力シート!$B$14=1,CX4*管理者用人口入力シート!AS$4,IF(管理者入力シート!$B$14=2,CX4*管理者用人口入力シート!AS$8))+将来予測シート②!$H24</f>
        <v>39.526418389454705</v>
      </c>
      <c r="CZ7" s="10">
        <f>IF(管理者入力シート!$B$14=1,CY4*管理者用人口入力シート!AT$4,IF(管理者入力シート!$B$14=2,CY4*管理者用人口入力シート!AT$8))+将来予測シート②!$H25</f>
        <v>56.992714558058594</v>
      </c>
      <c r="DA7" s="10">
        <f>IF(管理者入力シート!$B$14=1,CZ4*管理者用人口入力シート!AU$4,IF(管理者入力シート!$B$14=2,CZ4*管理者用人口入力シート!AU$8))+将来予測シート②!$H26</f>
        <v>78.44977695553186</v>
      </c>
      <c r="DB7" s="10">
        <f>IF(管理者入力シート!$B$14=1,DA4*管理者用人口入力シート!AV$4,IF(管理者入力シート!$B$14=2,DA4*管理者用人口入力シート!AV$8))+将来予測シート②!$H27</f>
        <v>86.771959356675623</v>
      </c>
      <c r="DC7" s="10">
        <f>IF(管理者入力シート!$B$14=1,DB4*管理者用人口入力シート!AW$4,IF(管理者入力シート!$B$14=2,DB4*管理者用人口入力シート!AW$8))+将来予測シート②!$H28</f>
        <v>97.530937411833634</v>
      </c>
      <c r="DD7" s="10">
        <f>IF(管理者入力シート!$B$14=1,DC4*管理者用人口入力シート!AX$4,IF(管理者入力シート!$B$14=2,DC4*管理者用人口入力シート!AX$8))+将来予測シート②!$H29</f>
        <v>107.36060868840353</v>
      </c>
      <c r="DE7" s="10">
        <f>IF(管理者入力シート!$B$14=1,DD4*管理者用人口入力シート!AY$4,IF(管理者入力シート!$B$14=2,DD4*管理者用人口入力シート!AY$8))</f>
        <v>132.86688456305063</v>
      </c>
      <c r="DF7" s="10">
        <f>IF(管理者入力シート!$B$14=1,DE4*管理者用人口入力シート!AZ$4,IF(管理者入力シート!$B$14=2,DE4*管理者用人口入力シート!AZ$8))</f>
        <v>156.41120064327527</v>
      </c>
      <c r="DG7" s="10">
        <f>IF(管理者入力シート!$B$14=1,DF4*管理者用人口入力シート!BA$4,IF(管理者入力シート!$B$14=2,DF4*管理者用人口入力シート!BA$8))</f>
        <v>173.17824295642183</v>
      </c>
      <c r="DH7" s="10">
        <f>IF(管理者入力シート!$B$14=1,DG4*管理者用人口入力シート!BB$4,IF(管理者入力シート!$B$14=2,DG4*管理者用人口入力シート!BB$8))</f>
        <v>149.44655071689644</v>
      </c>
      <c r="DI7" s="10">
        <f>IF(管理者入力シート!$B$14=1,DH4*管理者用人口入力シート!BC$4,IF(管理者入力シート!$B$14=2,DH4*管理者用人口入力シート!BC$8))</f>
        <v>101.03593197305592</v>
      </c>
      <c r="DJ7" s="10">
        <f>IF(管理者入力シート!$B$14=1,DI4*管理者用人口入力シート!BD$4,IF(管理者入力シート!$B$14=2,DI4*管理者用人口入力シート!BD$8))</f>
        <v>51.554406525034807</v>
      </c>
      <c r="DK7" s="10">
        <f>IF(管理者入力シート!$B$14=1,DJ4*管理者用人口入力シート!BE$4,IF(管理者入力シート!$B$14=2,DJ4*管理者用人口入力シート!BE$8))</f>
        <v>23.59747769978307</v>
      </c>
      <c r="DL7" s="10">
        <f>IF(管理者入力シート!$B$14=1,DK4*管理者用人口入力シート!BF$4,IF(管理者入力シート!$B$14=2,DK4*管理者用人口入力シート!BF$8))</f>
        <v>3.1194192476415177</v>
      </c>
      <c r="DM7" s="10">
        <f t="shared" si="68"/>
        <v>1548.8003547217133</v>
      </c>
      <c r="DN7" s="10">
        <f t="shared" si="34"/>
        <v>53.570657046887973</v>
      </c>
      <c r="DO7" s="10">
        <f t="shared" si="35"/>
        <v>30.855145651867247</v>
      </c>
      <c r="DP7" s="10">
        <f t="shared" si="6"/>
        <v>791.21011432515945</v>
      </c>
      <c r="DQ7" s="10">
        <f t="shared" si="36"/>
        <v>501.93202911883361</v>
      </c>
      <c r="DR7" s="14">
        <f t="shared" si="37"/>
        <v>0.51085352086410329</v>
      </c>
      <c r="DS7" s="14">
        <f t="shared" si="38"/>
        <v>0.32407794044508736</v>
      </c>
      <c r="DT7" s="10">
        <f t="shared" si="69"/>
        <v>151.78448525598111</v>
      </c>
      <c r="DV7" s="7" t="s">
        <v>401</v>
      </c>
      <c r="DW7" s="209">
        <f>(SUM(BK12:BW12)-SUM(D12:P12))/4</f>
        <v>-142.84969740095633</v>
      </c>
      <c r="DX7" s="29">
        <f>DX6</f>
        <v>2030</v>
      </c>
      <c r="DY7" s="4" t="s">
        <v>22</v>
      </c>
      <c r="DZ7" s="10">
        <f>FB7*$AK$14</f>
        <v>85.670644143710177</v>
      </c>
      <c r="EA7" s="10">
        <f>IF(管理者入力シート!$B$14=1,DZ4*管理者用人口入力シート!AM$4,IF(管理者入力シート!$B$14=2,DZ4*管理者用人口入力シート!AM$8))</f>
        <v>38.621436418148576</v>
      </c>
      <c r="EB7" s="10">
        <f>IF(管理者入力シート!$B$14=1,EA4*管理者用人口入力シート!AN$4,IF(管理者入力シート!$B$14=2,EA4*管理者用人口入力シート!AN$8))</f>
        <v>48.714803051523766</v>
      </c>
      <c r="EC7" s="10">
        <f>IF(管理者入力シート!$B$14=1,EB4*管理者用人口入力シート!AO$4,IF(管理者入力シート!$B$14=2,EB4*管理者用人口入力シート!AO$8))</f>
        <v>53.997443457719903</v>
      </c>
      <c r="ED7" s="10">
        <f>IF(管理者入力シート!$B$14=1,EC4*管理者用人口入力シート!AP$4,IF(管理者入力シート!$B$14=2,EC4*管理者用人口入力シート!AP$8))</f>
        <v>34.52606692135808</v>
      </c>
      <c r="EE7" s="10">
        <f>IF(管理者入力シート!$B$14=1,ED4*管理者用人口入力シート!AQ$4,IF(管理者入力シート!$B$14=2,ED4*管理者用人口入力シート!AQ$8))+DX1</f>
        <v>89.095408351381479</v>
      </c>
      <c r="EF7" s="10">
        <f>IF(管理者入力シート!$B$14=1,EE4*管理者用人口入力シート!AR$4,IF(管理者入力シート!$B$14=2,EE4*管理者用人口入力シート!AR$8))+DX1</f>
        <v>126.10070608002619</v>
      </c>
      <c r="EG7" s="10">
        <f>IF(管理者入力シート!$B$14=1,EF4*管理者用人口入力シート!AS$4,IF(管理者入力シート!$B$14=2,EF4*管理者用人口入力シート!AS$8))+DX1</f>
        <v>137.64098720800033</v>
      </c>
      <c r="EH7" s="10">
        <f>IF(管理者入力シート!$B$14=1,EG4*管理者用人口入力シート!AT$4,IF(管理者入力シート!$B$14=2,EG4*管理者用人口入力シート!AT$8))</f>
        <v>106.30882923216451</v>
      </c>
      <c r="EI7" s="10">
        <f>IF(管理者入力シート!$B$14=1,EH4*管理者用人口入力シート!AU$4,IF(管理者入力シート!$B$14=2,EH4*管理者用人口入力シート!AU$8))</f>
        <v>77.477568795191786</v>
      </c>
      <c r="EJ7" s="10">
        <f>IF(管理者入力シート!$B$14=1,EI4*管理者用人口入力シート!AV$4,IF(管理者入力シート!$B$14=2,EI4*管理者用人口入力シート!AV$8))</f>
        <v>86.771959356675623</v>
      </c>
      <c r="EK7" s="10">
        <f>IF(管理者入力シート!$B$14=1,EJ4*管理者用人口入力シート!AW$4,IF(管理者入力シート!$B$14=2,EJ4*管理者用人口入力シート!AW$8))</f>
        <v>97.530937411833634</v>
      </c>
      <c r="EL7" s="10">
        <f>IF(管理者入力シート!$B$14=1,EK4*管理者用人口入力シート!AX$4,IF(管理者入力シート!$B$14=2,EK4*管理者用人口入力シート!AX$8))</f>
        <v>107.36060868840353</v>
      </c>
      <c r="EM7" s="10">
        <f>IF(管理者入力シート!$B$14=1,EL4*管理者用人口入力シート!AY$4,IF(管理者入力シート!$B$14=2,EL4*管理者用人口入力シート!AY$8))</f>
        <v>132.86688456305063</v>
      </c>
      <c r="EN7" s="10">
        <f>IF(管理者入力シート!$B$14=1,EM4*管理者用人口入力シート!AZ$4,IF(管理者入力シート!$B$14=2,EM4*管理者用人口入力シート!AZ$8))</f>
        <v>156.41120064327527</v>
      </c>
      <c r="EO7" s="10">
        <f>IF(管理者入力シート!$B$14=1,EN4*管理者用人口入力シート!BA$4,IF(管理者入力シート!$B$14=2,EN4*管理者用人口入力シート!BA$8))</f>
        <v>173.17824295642183</v>
      </c>
      <c r="EP7" s="10">
        <f>IF(管理者入力シート!$B$14=1,EO4*管理者用人口入力シート!BB$4,IF(管理者入力シート!$B$14=2,EO4*管理者用人口入力シート!BB$8))</f>
        <v>149.44655071689644</v>
      </c>
      <c r="EQ7" s="10">
        <f>IF(管理者入力シート!$B$14=1,EP4*管理者用人口入力シート!BC$4,IF(管理者入力シート!$B$14=2,EP4*管理者用人口入力シート!BC$8))</f>
        <v>101.03593197305592</v>
      </c>
      <c r="ER7" s="10">
        <f>IF(管理者入力シート!$B$14=1,EQ4*管理者用人口入力シート!BD$4,IF(管理者入力シート!$B$14=2,EQ4*管理者用人口入力シート!BD$8))</f>
        <v>51.554406525034807</v>
      </c>
      <c r="ES7" s="10">
        <f>IF(管理者入力シート!$B$14=1,ER4*管理者用人口入力シート!BE$4,IF(管理者入力シート!$B$14=2,ER4*管理者用人口入力シート!BE$8))</f>
        <v>23.59747769978307</v>
      </c>
      <c r="ET7" s="10">
        <f>IF(管理者入力シート!$B$14=1,ES4*管理者用人口入力シート!BF$4,IF(管理者入力シート!$B$14=2,ES4*管理者用人口入力シート!BF$8))</f>
        <v>3.1194192476415177</v>
      </c>
      <c r="EU7" s="10">
        <f t="shared" si="70"/>
        <v>1881.0275134412971</v>
      </c>
      <c r="EV7" s="10">
        <f t="shared" si="41"/>
        <v>52.401743681803403</v>
      </c>
      <c r="EW7" s="10">
        <f t="shared" si="42"/>
        <v>30.285409912153487</v>
      </c>
      <c r="EX7" s="10">
        <f t="shared" si="10"/>
        <v>791.21011432515945</v>
      </c>
      <c r="EY7" s="10">
        <f t="shared" si="43"/>
        <v>501.93202911883361</v>
      </c>
      <c r="EZ7" s="14">
        <f t="shared" si="44"/>
        <v>0.4206265504738198</v>
      </c>
      <c r="FA7" s="14">
        <f t="shared" si="45"/>
        <v>0.26683928094202108</v>
      </c>
      <c r="FB7" s="10">
        <f t="shared" si="71"/>
        <v>387.3631685607661</v>
      </c>
    </row>
    <row r="8" spans="1:158" x14ac:dyDescent="0.15">
      <c r="A8" s="7" t="str">
        <f t="shared" si="11"/>
        <v>2010_3</v>
      </c>
      <c r="B8" s="30">
        <v>2010</v>
      </c>
      <c r="C8" s="5" t="s">
        <v>23</v>
      </c>
      <c r="D8" s="11">
        <v>160.5</v>
      </c>
      <c r="E8" s="11">
        <v>218.9</v>
      </c>
      <c r="F8" s="11">
        <v>225.5</v>
      </c>
      <c r="G8" s="11">
        <v>220.8</v>
      </c>
      <c r="H8" s="11">
        <v>161.30000000000001</v>
      </c>
      <c r="I8" s="11">
        <v>207.4</v>
      </c>
      <c r="J8" s="11">
        <v>191.2</v>
      </c>
      <c r="K8" s="11">
        <v>211.4</v>
      </c>
      <c r="L8" s="11">
        <v>230.2</v>
      </c>
      <c r="M8" s="11">
        <v>278.29999999999995</v>
      </c>
      <c r="N8" s="11">
        <v>335.2</v>
      </c>
      <c r="O8" s="11">
        <v>410</v>
      </c>
      <c r="P8" s="11">
        <v>433</v>
      </c>
      <c r="Q8" s="11">
        <v>349.1</v>
      </c>
      <c r="R8" s="11">
        <v>331.6</v>
      </c>
      <c r="S8" s="11">
        <v>341.6</v>
      </c>
      <c r="T8" s="11">
        <v>287.3</v>
      </c>
      <c r="U8" s="11">
        <v>174.6</v>
      </c>
      <c r="V8" s="11">
        <v>73.7</v>
      </c>
      <c r="W8" s="11">
        <v>21.9</v>
      </c>
      <c r="X8" s="11">
        <v>1</v>
      </c>
      <c r="Y8" s="11">
        <v>4864.5</v>
      </c>
      <c r="Z8" s="11">
        <f t="shared" si="12"/>
        <v>266.64</v>
      </c>
      <c r="AA8" s="11">
        <f t="shared" si="13"/>
        <v>134.36000000000001</v>
      </c>
      <c r="AB8" s="11">
        <f t="shared" si="0"/>
        <v>1580.8000000000002</v>
      </c>
      <c r="AC8" s="11">
        <f t="shared" si="14"/>
        <v>900.10000000000014</v>
      </c>
      <c r="AD8" s="15">
        <f t="shared" si="15"/>
        <v>0.32496659471682604</v>
      </c>
      <c r="AE8" s="15">
        <f t="shared" si="16"/>
        <v>0.18503443313804094</v>
      </c>
      <c r="AF8" s="11">
        <f t="shared" si="17"/>
        <v>771.30000000000007</v>
      </c>
      <c r="AH8" s="7"/>
      <c r="AI8" s="30" t="s">
        <v>88</v>
      </c>
      <c r="AJ8" s="5">
        <f>AJ7</f>
        <v>2010</v>
      </c>
      <c r="AK8" s="5">
        <f>AK7</f>
        <v>2020</v>
      </c>
      <c r="AL8" s="33" t="s">
        <v>22</v>
      </c>
      <c r="AM8" s="47">
        <f t="shared" si="72"/>
        <v>0.9481889418076056</v>
      </c>
      <c r="AN8" s="47">
        <f t="shared" si="72"/>
        <v>0.98497459303729273</v>
      </c>
      <c r="AO8" s="47">
        <f t="shared" si="72"/>
        <v>0.84867869856878864</v>
      </c>
      <c r="AP8" s="47">
        <f t="shared" si="72"/>
        <v>0.53638361472029839</v>
      </c>
      <c r="AQ8" s="47">
        <f t="shared" si="72"/>
        <v>0.8708526655765052</v>
      </c>
      <c r="AR8" s="47">
        <f t="shared" si="72"/>
        <v>0.82216905179665345</v>
      </c>
      <c r="AS8" s="47">
        <f t="shared" si="72"/>
        <v>0.96229137637091244</v>
      </c>
      <c r="AT8" s="47">
        <f t="shared" si="72"/>
        <v>1.0063222934821183</v>
      </c>
      <c r="AU8" s="47">
        <f t="shared" si="72"/>
        <v>0.97220816034006929</v>
      </c>
      <c r="AV8" s="47">
        <f t="shared" si="72"/>
        <v>0.95018344462654059</v>
      </c>
      <c r="AW8" s="47">
        <f t="shared" si="72"/>
        <v>0.96247764358184529</v>
      </c>
      <c r="AX8" s="47">
        <f t="shared" si="72"/>
        <v>0.99924398886307464</v>
      </c>
      <c r="AY8" s="47">
        <f t="shared" si="72"/>
        <v>0.99441224069115475</v>
      </c>
      <c r="AZ8" s="47">
        <f t="shared" si="72"/>
        <v>0.95128435077239659</v>
      </c>
      <c r="BA8" s="47">
        <f t="shared" si="72"/>
        <v>0.92648293764127798</v>
      </c>
      <c r="BB8" s="47">
        <f t="shared" si="72"/>
        <v>0.78498245779831932</v>
      </c>
      <c r="BC8" s="47">
        <f t="shared" si="72"/>
        <v>0.77730519294441258</v>
      </c>
      <c r="BD8" s="47">
        <f t="shared" si="72"/>
        <v>0.54144319980700384</v>
      </c>
      <c r="BE8" s="47">
        <f t="shared" si="72"/>
        <v>0.35167222844144175</v>
      </c>
      <c r="BF8" s="47">
        <f t="shared" si="72"/>
        <v>0.1098849631346519</v>
      </c>
      <c r="BH8" s="7" t="str">
        <f t="shared" si="19"/>
        <v>2030_3</v>
      </c>
      <c r="BI8" s="30">
        <f>BI7</f>
        <v>2030</v>
      </c>
      <c r="BJ8" s="5" t="s">
        <v>23</v>
      </c>
      <c r="BK8" s="16">
        <f>BK6+BK7</f>
        <v>70.362417702142366</v>
      </c>
      <c r="BL8" s="16">
        <f t="shared" ref="BL8" si="73">BL6+BL7</f>
        <v>92.767594176610345</v>
      </c>
      <c r="BM8" s="16">
        <f t="shared" ref="BM8" si="74">BM6+BM7</f>
        <v>117.05389419840105</v>
      </c>
      <c r="BN8" s="16">
        <f t="shared" ref="BN8" si="75">BN6+BN7</f>
        <v>104.90151658674822</v>
      </c>
      <c r="BO8" s="16">
        <f t="shared" ref="BO8" si="76">BO6+BO7</f>
        <v>69.683746051564015</v>
      </c>
      <c r="BP8" s="16">
        <f t="shared" ref="BP8" si="77">BP6+BP7</f>
        <v>73.620090956786029</v>
      </c>
      <c r="BQ8" s="16">
        <f t="shared" ref="BQ8" si="78">BQ6+BQ7</f>
        <v>67.55223399203912</v>
      </c>
      <c r="BR8" s="16">
        <f t="shared" ref="BR8" si="79">BR6+BR7</f>
        <v>80.473516688129735</v>
      </c>
      <c r="BS8" s="16">
        <f t="shared" ref="BS8" si="80">BS6+BS7</f>
        <v>107.59401735860325</v>
      </c>
      <c r="BT8" s="16">
        <f t="shared" ref="BT8" si="81">BT6+BT7</f>
        <v>181.34848283388072</v>
      </c>
      <c r="BU8" s="16">
        <f t="shared" ref="BU8" si="82">BU6+BU7</f>
        <v>172.14092135834642</v>
      </c>
      <c r="BV8" s="16">
        <f t="shared" ref="BV8" si="83">BV6+BV7</f>
        <v>197.65502736270881</v>
      </c>
      <c r="BW8" s="16">
        <f t="shared" ref="BW8" si="84">BW6+BW7</f>
        <v>197.82239250551658</v>
      </c>
      <c r="BX8" s="16">
        <f t="shared" ref="BX8" si="85">BX6+BX7</f>
        <v>255.43383677343394</v>
      </c>
      <c r="BY8" s="16">
        <f t="shared" ref="BY8" si="86">BY6+BY7</f>
        <v>296.47678252304502</v>
      </c>
      <c r="BZ8" s="16">
        <f t="shared" ref="BZ8" si="87">BZ6+BZ7</f>
        <v>330.94629446643478</v>
      </c>
      <c r="CA8" s="16">
        <f t="shared" ref="CA8" si="88">CA6+CA7</f>
        <v>276.03105701843879</v>
      </c>
      <c r="CB8" s="16">
        <f t="shared" ref="CB8" si="89">CB6+CB7</f>
        <v>152.75820338879791</v>
      </c>
      <c r="CC8" s="16">
        <f t="shared" ref="CC8" si="90">CC6+CC7</f>
        <v>72.881446718352464</v>
      </c>
      <c r="CD8" s="16">
        <f t="shared" ref="CD8" si="91">CD6+CD7</f>
        <v>26.583516478390361</v>
      </c>
      <c r="CE8" s="16">
        <f t="shared" ref="CE8" si="92">CE6+CE7</f>
        <v>3.1902516378535108</v>
      </c>
      <c r="CF8" s="11">
        <f t="shared" si="2"/>
        <v>2947.2772407762236</v>
      </c>
      <c r="CG8" s="11">
        <f t="shared" si="20"/>
        <v>125.89289302500683</v>
      </c>
      <c r="CH8" s="11">
        <f t="shared" si="21"/>
        <v>67.801860996710076</v>
      </c>
      <c r="CI8" s="11">
        <f t="shared" si="3"/>
        <v>1414.3013890047466</v>
      </c>
      <c r="CJ8" s="11">
        <f t="shared" si="22"/>
        <v>862.39076970826784</v>
      </c>
      <c r="CK8" s="15">
        <f t="shared" si="23"/>
        <v>0.47986710223170675</v>
      </c>
      <c r="CL8" s="15">
        <f t="shared" si="24"/>
        <v>0.29260592039897143</v>
      </c>
      <c r="CM8" s="11">
        <f t="shared" si="25"/>
        <v>291.32958768851893</v>
      </c>
      <c r="CO8" s="7" t="str">
        <f t="shared" si="26"/>
        <v>2030_3</v>
      </c>
      <c r="CP8" s="30">
        <f>CP7</f>
        <v>2030</v>
      </c>
      <c r="CQ8" s="5" t="s">
        <v>23</v>
      </c>
      <c r="CR8" s="16">
        <f>CR6+CR7</f>
        <v>74.093376154810102</v>
      </c>
      <c r="CS8" s="16">
        <f t="shared" ref="CS8" si="93">CS6+CS7</f>
        <v>94.874138774970675</v>
      </c>
      <c r="CT8" s="16">
        <f t="shared" ref="CT8" si="94">CT6+CT7</f>
        <v>119.05389419840105</v>
      </c>
      <c r="CU8" s="16">
        <f t="shared" ref="CU8" si="95">CU6+CU7</f>
        <v>106.53218573222946</v>
      </c>
      <c r="CV8" s="16">
        <f t="shared" ref="CV8" si="96">CV6+CV7</f>
        <v>69.683746051564015</v>
      </c>
      <c r="CW8" s="16">
        <f t="shared" ref="CW8" si="97">CW6+CW7</f>
        <v>77.620090956786029</v>
      </c>
      <c r="CX8" s="16">
        <f t="shared" ref="CX8" si="98">CX6+CX7</f>
        <v>70.971743567161525</v>
      </c>
      <c r="CY8" s="16">
        <f t="shared" ref="CY8" si="99">CY6+CY7</f>
        <v>80.473516688129735</v>
      </c>
      <c r="CZ8" s="16">
        <f t="shared" ref="CZ8" si="100">CZ6+CZ7</f>
        <v>108.59401735860325</v>
      </c>
      <c r="DA8" s="16">
        <f t="shared" ref="DA8" si="101">DA6+DA7</f>
        <v>182.3206909942208</v>
      </c>
      <c r="DB8" s="16">
        <f t="shared" ref="DB8" si="102">DB6+DB7</f>
        <v>172.14092135834642</v>
      </c>
      <c r="DC8" s="16">
        <f t="shared" ref="DC8" si="103">DC6+DC7</f>
        <v>197.65502736270881</v>
      </c>
      <c r="DD8" s="16">
        <f t="shared" ref="DD8" si="104">DD6+DD7</f>
        <v>197.82239250551658</v>
      </c>
      <c r="DE8" s="16">
        <f t="shared" ref="DE8" si="105">DE6+DE7</f>
        <v>255.43383677343394</v>
      </c>
      <c r="DF8" s="16">
        <f t="shared" ref="DF8" si="106">DF6+DF7</f>
        <v>296.47678252304502</v>
      </c>
      <c r="DG8" s="16">
        <f t="shared" ref="DG8" si="107">DG6+DG7</f>
        <v>330.94629446643478</v>
      </c>
      <c r="DH8" s="16">
        <f t="shared" ref="DH8" si="108">DH6+DH7</f>
        <v>276.03105701843879</v>
      </c>
      <c r="DI8" s="16">
        <f t="shared" ref="DI8" si="109">DI6+DI7</f>
        <v>152.75820338879791</v>
      </c>
      <c r="DJ8" s="16">
        <f t="shared" ref="DJ8" si="110">DJ6+DJ7</f>
        <v>72.881446718352464</v>
      </c>
      <c r="DK8" s="16">
        <f t="shared" ref="DK8" si="111">DK6+DK7</f>
        <v>26.583516478390361</v>
      </c>
      <c r="DL8" s="16">
        <f t="shared" ref="DL8" si="112">DL6+DL7</f>
        <v>3.1902516378535108</v>
      </c>
      <c r="DM8" s="11">
        <f t="shared" si="68"/>
        <v>2966.1371307081949</v>
      </c>
      <c r="DN8" s="11">
        <f t="shared" si="34"/>
        <v>128.35681978402303</v>
      </c>
      <c r="DO8" s="11">
        <f t="shared" si="35"/>
        <v>68.927994825806309</v>
      </c>
      <c r="DP8" s="11">
        <f t="shared" si="6"/>
        <v>1414.3013890047466</v>
      </c>
      <c r="DQ8" s="11">
        <f t="shared" si="36"/>
        <v>862.39076970826784</v>
      </c>
      <c r="DR8" s="15">
        <f t="shared" si="37"/>
        <v>0.47681591466644968</v>
      </c>
      <c r="DS8" s="15">
        <f t="shared" si="38"/>
        <v>0.29074541455956332</v>
      </c>
      <c r="DT8" s="11">
        <f t="shared" si="69"/>
        <v>298.74909726364132</v>
      </c>
      <c r="DV8" s="7" t="s">
        <v>402</v>
      </c>
      <c r="DW8" s="209">
        <f>(SUM(BK13:BW13)-SUM(D13:P13))/4</f>
        <v>-157.47896484017841</v>
      </c>
      <c r="DX8" s="30">
        <f>DX7</f>
        <v>2030</v>
      </c>
      <c r="DY8" s="5" t="s">
        <v>23</v>
      </c>
      <c r="DZ8" s="16">
        <f>DZ6+DZ7</f>
        <v>183.98664772933355</v>
      </c>
      <c r="EA8" s="16">
        <f t="shared" ref="EA8:ET8" si="113">EA6+EA7</f>
        <v>92.767594176610345</v>
      </c>
      <c r="EB8" s="16">
        <f t="shared" si="113"/>
        <v>117.05389419840105</v>
      </c>
      <c r="EC8" s="16">
        <f t="shared" si="113"/>
        <v>104.90151658674822</v>
      </c>
      <c r="ED8" s="16">
        <f t="shared" si="113"/>
        <v>69.683746051564015</v>
      </c>
      <c r="EE8" s="16">
        <f t="shared" si="113"/>
        <v>173.62009095678604</v>
      </c>
      <c r="EF8" s="16">
        <f t="shared" si="113"/>
        <v>253.03997337009912</v>
      </c>
      <c r="EG8" s="16">
        <f t="shared" si="113"/>
        <v>273.41554006993829</v>
      </c>
      <c r="EH8" s="16">
        <f t="shared" si="113"/>
        <v>211.70242600738408</v>
      </c>
      <c r="EI8" s="16">
        <f t="shared" si="113"/>
        <v>181.34848283388072</v>
      </c>
      <c r="EJ8" s="16">
        <f t="shared" si="113"/>
        <v>172.14092135834642</v>
      </c>
      <c r="EK8" s="16">
        <f t="shared" si="113"/>
        <v>197.65502736270881</v>
      </c>
      <c r="EL8" s="16">
        <f t="shared" si="113"/>
        <v>197.82239250551658</v>
      </c>
      <c r="EM8" s="16">
        <f t="shared" si="113"/>
        <v>255.43383677343394</v>
      </c>
      <c r="EN8" s="16">
        <f t="shared" si="113"/>
        <v>296.47678252304502</v>
      </c>
      <c r="EO8" s="16">
        <f t="shared" si="113"/>
        <v>330.94629446643478</v>
      </c>
      <c r="EP8" s="16">
        <f t="shared" si="113"/>
        <v>276.03105701843879</v>
      </c>
      <c r="EQ8" s="16">
        <f t="shared" si="113"/>
        <v>152.75820338879791</v>
      </c>
      <c r="ER8" s="16">
        <f t="shared" si="113"/>
        <v>72.881446718352464</v>
      </c>
      <c r="ES8" s="16">
        <f t="shared" si="113"/>
        <v>26.583516478390361</v>
      </c>
      <c r="ET8" s="16">
        <f t="shared" si="113"/>
        <v>3.1902516378535108</v>
      </c>
      <c r="EU8" s="11">
        <f t="shared" si="70"/>
        <v>3643.439642212064</v>
      </c>
      <c r="EV8" s="11">
        <f t="shared" si="41"/>
        <v>125.89289302500683</v>
      </c>
      <c r="EW8" s="11">
        <f t="shared" si="42"/>
        <v>67.801860996710076</v>
      </c>
      <c r="EX8" s="11">
        <f t="shared" si="10"/>
        <v>1414.3013890047466</v>
      </c>
      <c r="EY8" s="11">
        <f t="shared" si="43"/>
        <v>862.39076970826784</v>
      </c>
      <c r="EZ8" s="15">
        <f t="shared" si="44"/>
        <v>0.38817752670278166</v>
      </c>
      <c r="FA8" s="15">
        <f t="shared" si="45"/>
        <v>0.23669687284422233</v>
      </c>
      <c r="FB8" s="11">
        <f t="shared" si="71"/>
        <v>769.75935044838752</v>
      </c>
    </row>
    <row r="9" spans="1:158" x14ac:dyDescent="0.15">
      <c r="A9" s="7" t="str">
        <f t="shared" si="11"/>
        <v>2015_1</v>
      </c>
      <c r="B9" s="28">
        <v>2015</v>
      </c>
      <c r="C9" s="3" t="s">
        <v>21</v>
      </c>
      <c r="D9" s="9">
        <v>53.724390243902434</v>
      </c>
      <c r="E9" s="9">
        <v>85.241158536585374</v>
      </c>
      <c r="F9" s="9">
        <v>111.25792682926829</v>
      </c>
      <c r="G9" s="9">
        <v>92.832012195121948</v>
      </c>
      <c r="H9" s="9">
        <v>64.913719512195115</v>
      </c>
      <c r="I9" s="9">
        <v>61.130487804878051</v>
      </c>
      <c r="J9" s="9">
        <v>108.65487804878049</v>
      </c>
      <c r="K9" s="9">
        <v>83.135060975609747</v>
      </c>
      <c r="L9" s="9">
        <v>109.25487804878048</v>
      </c>
      <c r="M9" s="9">
        <v>107.14725609756098</v>
      </c>
      <c r="N9" s="9">
        <v>130.85945121951221</v>
      </c>
      <c r="O9" s="9">
        <v>160.37317073170732</v>
      </c>
      <c r="P9" s="9">
        <v>208.10060975609755</v>
      </c>
      <c r="Q9" s="9">
        <v>207.51280487804877</v>
      </c>
      <c r="R9" s="9">
        <v>147.17621951219513</v>
      </c>
      <c r="S9" s="9">
        <v>134.67164634146343</v>
      </c>
      <c r="T9" s="9">
        <v>117.7625</v>
      </c>
      <c r="U9" s="9">
        <v>60.336585365853658</v>
      </c>
      <c r="V9" s="9">
        <v>16.013719512195124</v>
      </c>
      <c r="W9" s="9">
        <v>2.9015243902439023</v>
      </c>
      <c r="X9" s="9">
        <v>0.9</v>
      </c>
      <c r="Y9" s="9">
        <v>2063.9</v>
      </c>
      <c r="Z9" s="9">
        <f t="shared" si="12"/>
        <v>117.8994512195122</v>
      </c>
      <c r="AA9" s="9">
        <f t="shared" si="13"/>
        <v>63.069573170731701</v>
      </c>
      <c r="AB9" s="9">
        <f t="shared" si="0"/>
        <v>687.27500000000009</v>
      </c>
      <c r="AC9" s="9">
        <f t="shared" si="14"/>
        <v>332.58597560975602</v>
      </c>
      <c r="AD9" s="13">
        <f t="shared" si="15"/>
        <v>0.33299820727748441</v>
      </c>
      <c r="AE9" s="13">
        <f t="shared" si="16"/>
        <v>0.16114442347485633</v>
      </c>
      <c r="AF9" s="9">
        <f t="shared" si="17"/>
        <v>317.83414634146339</v>
      </c>
      <c r="AL9" s="46" t="s">
        <v>92</v>
      </c>
      <c r="AM9" s="2">
        <v>4</v>
      </c>
      <c r="AN9" s="2">
        <f>AM9+1</f>
        <v>5</v>
      </c>
      <c r="AO9" s="2">
        <f t="shared" ref="AO9:BF9" si="114">AN9+1</f>
        <v>6</v>
      </c>
      <c r="AP9" s="2">
        <f t="shared" si="114"/>
        <v>7</v>
      </c>
      <c r="AQ9" s="2">
        <f t="shared" si="114"/>
        <v>8</v>
      </c>
      <c r="AR9" s="2">
        <f t="shared" si="114"/>
        <v>9</v>
      </c>
      <c r="AS9" s="2">
        <f t="shared" si="114"/>
        <v>10</v>
      </c>
      <c r="AT9" s="2">
        <f t="shared" si="114"/>
        <v>11</v>
      </c>
      <c r="AU9" s="2">
        <f t="shared" si="114"/>
        <v>12</v>
      </c>
      <c r="AV9" s="2">
        <f t="shared" si="114"/>
        <v>13</v>
      </c>
      <c r="AW9" s="2">
        <f t="shared" si="114"/>
        <v>14</v>
      </c>
      <c r="AX9" s="2">
        <f t="shared" si="114"/>
        <v>15</v>
      </c>
      <c r="AY9" s="2">
        <f t="shared" si="114"/>
        <v>16</v>
      </c>
      <c r="AZ9" s="2">
        <f t="shared" si="114"/>
        <v>17</v>
      </c>
      <c r="BA9" s="2">
        <f t="shared" si="114"/>
        <v>18</v>
      </c>
      <c r="BB9" s="2">
        <f t="shared" si="114"/>
        <v>19</v>
      </c>
      <c r="BC9" s="2">
        <f t="shared" si="114"/>
        <v>20</v>
      </c>
      <c r="BD9" s="2">
        <f t="shared" si="114"/>
        <v>21</v>
      </c>
      <c r="BE9" s="2">
        <f t="shared" si="114"/>
        <v>22</v>
      </c>
      <c r="BF9" s="2">
        <f t="shared" si="114"/>
        <v>23</v>
      </c>
      <c r="BH9" s="7" t="str">
        <f t="shared" si="19"/>
        <v>2035_1</v>
      </c>
      <c r="BI9" s="28">
        <f>管理者入力シート!B10</f>
        <v>2035</v>
      </c>
      <c r="BJ9" s="3" t="s">
        <v>21</v>
      </c>
      <c r="BK9" s="9">
        <f>CM10*$AK$13</f>
        <v>31.687017162128509</v>
      </c>
      <c r="BL9" s="9">
        <f>IF(管理者入力シート!$B$14=1,BK6*管理者用人口入力シート!AM$3,IF(管理者入力シート!$B$14=2,BK6*管理者用人口入力シート!AM$7))</f>
        <v>43.553251956440484</v>
      </c>
      <c r="BM9" s="9">
        <f>IF(管理者入力シート!$B$14=1,BL6*管理者用人口入力シート!AN$3,IF(管理者入力シート!$B$14=2,BL6*管理者用人口入力シート!AN$7))</f>
        <v>53.365637030993476</v>
      </c>
      <c r="BN9" s="9">
        <f>IF(管理者入力シート!$B$14=1,BM6*管理者用人口入力シート!AO$3,IF(管理者入力シート!$B$14=2,BM6*管理者用人口入力シート!AO$7))</f>
        <v>53.440516427536672</v>
      </c>
      <c r="BO9" s="9">
        <f>IF(管理者入力シート!$B$14=1,BN6*管理者用人口入力シート!AP$3,IF(管理者入力シート!$B$14=2,BN6*管理者用人口入力シート!AP$7))</f>
        <v>26.082606631629726</v>
      </c>
      <c r="BP9" s="9">
        <f>IF(管理者入力シート!$B$14=1,BO6*管理者用人口入力シート!AQ$3,IF(管理者入力シート!$B$14=2,BO6*管理者用人口入力シート!AQ$7))</f>
        <v>28.963507014842978</v>
      </c>
      <c r="BQ9" s="9">
        <f>IF(管理者入力シート!$B$14=1,BP6*管理者用人口入力シート!AR$3,IF(管理者入力シート!$B$14=2,BP6*管理者用人口入力シート!AR$7))</f>
        <v>30.643615812355467</v>
      </c>
      <c r="BR9" s="9">
        <f>IF(管理者入力シート!$B$14=1,BQ6*管理者用人口入力シート!AS$3,IF(管理者入力シート!$B$14=2,BQ6*管理者用人口入力シート!AS$7))</f>
        <v>29.191620930544211</v>
      </c>
      <c r="BS9" s="9">
        <f>IF(管理者入力シート!$B$14=1,BR6*管理者用人口入力シート!AT$3,IF(管理者入力シート!$B$14=2,BR6*管理者用人口入力シート!AT$7))</f>
        <v>44.052766981844755</v>
      </c>
      <c r="BT9" s="9">
        <f>IF(管理者入力シート!$B$14=1,BS6*管理者用人口入力シート!AU$3,IF(管理者入力シート!$B$14=2,BS6*管理者用人口入力シート!AU$7))</f>
        <v>50.992752150462785</v>
      </c>
      <c r="BU9" s="9">
        <f>IF(管理者入力シート!$B$14=1,BT6*管理者用人口入力シート!AV$3,IF(管理者入力シート!$B$14=2,BT6*管理者用人口入力シート!AV$7))</f>
        <v>96.847167669805359</v>
      </c>
      <c r="BV9" s="9">
        <f>IF(管理者入力シート!$B$14=1,BU6*管理者用人口入力シート!AW$3,IF(管理者入力シート!$B$14=2,BU6*管理者用人口入力シート!AW$7))</f>
        <v>85.008392024008785</v>
      </c>
      <c r="BW9" s="9">
        <f>IF(管理者入力シート!$B$14=1,BV6*管理者用人口入力シート!AX$3,IF(管理者入力シート!$B$14=2,BV6*管理者用人口入力シート!AX$7))</f>
        <v>97.101097486215991</v>
      </c>
      <c r="BX9" s="9">
        <f>IF(管理者入力シート!$B$14=1,BW6*管理者用人口入力シート!AY$3,IF(管理者入力シート!$B$14=2,BW6*管理者用人口入力シート!AY$7))</f>
        <v>87.657879390421101</v>
      </c>
      <c r="BY9" s="9">
        <f>IF(管理者入力シート!$B$14=1,BX6*管理者用人口入力シート!AZ$3,IF(管理者入力シート!$B$14=2,BX6*管理者用人口入力シート!AZ$7))</f>
        <v>114.21831633920037</v>
      </c>
      <c r="BZ9" s="9">
        <f>IF(管理者入力シート!$B$14=1,BY6*管理者用人口入力シート!BA$3,IF(管理者入力シート!$B$14=2,BY6*管理者用人口入力シート!BA$7))</f>
        <v>118.67593649929741</v>
      </c>
      <c r="CA9" s="9">
        <f>IF(管理者入力シート!$B$14=1,BZ6*管理者用人口入力シート!BB$3,IF(管理者入力シート!$B$14=2,BZ6*管理者用人口入力シート!BB$7))</f>
        <v>120.99466036941794</v>
      </c>
      <c r="CB9" s="9">
        <f>IF(管理者入力シート!$B$14=1,CA6*管理者用人口入力シート!BC$3,IF(管理者入力シート!$B$14=2,CA6*管理者用人口入力シート!BC$7))</f>
        <v>67.797239680012041</v>
      </c>
      <c r="CC9" s="9">
        <f>IF(管理者入力シート!$B$14=1,CB6*管理者用人口入力シート!BD$3,IF(管理者入力シート!$B$14=2,CB6*管理者用人口入力シート!BD$7))</f>
        <v>20.481986953730292</v>
      </c>
      <c r="CD9" s="9">
        <f>IF(管理者入力シート!$B$14=1,CC6*管理者用人口入力シート!BE$3,IF(管理者入力シート!$B$14=2,CC6*管理者用人口入力シート!BE$7))</f>
        <v>2.824368591232814</v>
      </c>
      <c r="CE9" s="9">
        <f>IF(管理者入力シート!$B$14=1,CD6*管理者用人口入力シート!BF$3,IF(管理者入力シート!$B$14=2,CD6*管理者用人口入力シート!BF$7))</f>
        <v>5.5618949510875218E-2</v>
      </c>
      <c r="CF9" s="9">
        <f t="shared" si="2"/>
        <v>1203.6359560516321</v>
      </c>
      <c r="CG9" s="9">
        <f t="shared" si="20"/>
        <v>58.151333392460373</v>
      </c>
      <c r="CH9" s="9">
        <f t="shared" si="21"/>
        <v>32.034358097904729</v>
      </c>
      <c r="CI9" s="9">
        <f t="shared" si="3"/>
        <v>532.70600677282278</v>
      </c>
      <c r="CJ9" s="9">
        <f t="shared" si="22"/>
        <v>330.8298110432014</v>
      </c>
      <c r="CK9" s="13">
        <f t="shared" si="23"/>
        <v>0.44258066909225119</v>
      </c>
      <c r="CL9" s="13">
        <f t="shared" si="24"/>
        <v>0.27485869741582386</v>
      </c>
      <c r="CM9" s="9">
        <f t="shared" si="25"/>
        <v>114.88135038937239</v>
      </c>
      <c r="CO9" s="7" t="str">
        <f t="shared" si="26"/>
        <v>2035_1</v>
      </c>
      <c r="CP9" s="28">
        <f>管理者入力シート!B10</f>
        <v>2035</v>
      </c>
      <c r="CQ9" s="3" t="s">
        <v>21</v>
      </c>
      <c r="CR9" s="9">
        <f>DT10*$AK$13+将来予測シート②!$G17</f>
        <v>34.129127691647</v>
      </c>
      <c r="CS9" s="9">
        <f>IF(管理者入力シート!$B$14=1,CR6*管理者用人口入力シート!AM$3,IF(管理者入力シート!$B$14=2,CR6*管理者用人口入力シート!AM$7))+将来予測シート②!$G18</f>
        <v>45.783044213342905</v>
      </c>
      <c r="CT9" s="9">
        <f>IF(管理者入力シート!$B$14=1,CS6*管理者用人口入力シート!AN$3,IF(管理者入力シート!$B$14=2,CS6*管理者用人口入力シート!AN$7))+将来予測シート②!$G19</f>
        <v>55.50729490810722</v>
      </c>
      <c r="CU9" s="9">
        <f>IF(管理者入力シート!$B$14=1,CT6*管理者用人口入力シート!AO$3,IF(管理者入力シート!$B$14=2,CT6*管理者用人口入力シート!AO$7))+将来予測シート②!$G20</f>
        <v>54.22250687444911</v>
      </c>
      <c r="CV9" s="9">
        <f>IF(管理者入力シート!$B$14=1,CU6*管理者用人口入力シート!AP$3,IF(管理者入力シート!$B$14=2,CU6*管理者用人口入力シート!AP$7))+将来予測シート②!$G21</f>
        <v>26.483288698167119</v>
      </c>
      <c r="CW9" s="9">
        <f>IF(管理者入力シート!$B$14=1,CV6*管理者用人口入力シート!AQ$3,IF(管理者入力シート!$B$14=2,CV6*管理者用人口入力シート!AQ$7))+将来予測シート②!$G22</f>
        <v>30.963507014842978</v>
      </c>
      <c r="CX9" s="9">
        <f>IF(管理者入力シート!$B$14=1,CW6*管理者用人口入力シート!AR$3,IF(管理者入力シート!$B$14=2,CW6*管理者用人口入力シート!AR$7))+将来予測シート②!$G23</f>
        <v>32.418787283884562</v>
      </c>
      <c r="CY9" s="9">
        <f>IF(管理者入力シート!$B$14=1,CX6*管理者用人口入力シート!AS$3,IF(管理者入力シート!$B$14=2,CX6*管理者用人口入力シート!AS$7))+将来予測シート②!$G24</f>
        <v>30.783149300183634</v>
      </c>
      <c r="CZ9" s="9">
        <f>IF(管理者入力シート!$B$14=1,CY6*管理者用人口入力シート!AT$3,IF(管理者入力シート!$B$14=2,CY6*管理者用人口入力シート!AT$7))+将来予測シート②!$G25</f>
        <v>44.052766981844755</v>
      </c>
      <c r="DA9" s="9">
        <f>IF(管理者入力シート!$B$14=1,CZ6*管理者用人口入力シート!AU$3,IF(管理者入力シート!$B$14=2,CZ6*管理者用人口入力シート!AU$7))+将来予測シート②!$G26</f>
        <v>50.992752150462785</v>
      </c>
      <c r="DB9" s="9">
        <f>IF(管理者入力シート!$B$14=1,DA6*管理者用人口入力シート!AV$3,IF(管理者入力シート!$B$14=2,DA6*管理者用人口入力シート!AV$7))+将来予測シート②!$G27</f>
        <v>96.847167669805359</v>
      </c>
      <c r="DC9" s="9">
        <f>IF(管理者入力シート!$B$14=1,DB6*管理者用人口入力シート!AW$3,IF(管理者入力シート!$B$14=2,DB6*管理者用人口入力シート!AW$7))+将来予測シート②!$G28</f>
        <v>85.008392024008785</v>
      </c>
      <c r="DD9" s="9">
        <f>IF(管理者入力シート!$B$14=1,DC6*管理者用人口入力シート!AX$3,IF(管理者入力シート!$B$14=2,DC6*管理者用人口入力シート!AX$7))+将来予測シート②!$G29</f>
        <v>97.101097486215991</v>
      </c>
      <c r="DE9" s="9">
        <f>IF(管理者入力シート!$B$14=1,DD6*管理者用人口入力シート!AY$3,IF(管理者入力シート!$B$14=2,DD6*管理者用人口入力シート!AY$7))</f>
        <v>87.657879390421101</v>
      </c>
      <c r="DF9" s="9">
        <f>IF(管理者入力シート!$B$14=1,DE6*管理者用人口入力シート!AZ$3,IF(管理者入力シート!$B$14=2,DE6*管理者用人口入力シート!AZ$7))</f>
        <v>114.21831633920037</v>
      </c>
      <c r="DG9" s="9">
        <f>IF(管理者入力シート!$B$14=1,DF6*管理者用人口入力シート!BA$3,IF(管理者入力シート!$B$14=2,DF6*管理者用人口入力シート!BA$7))</f>
        <v>118.67593649929741</v>
      </c>
      <c r="DH9" s="9">
        <f>IF(管理者入力シート!$B$14=1,DG6*管理者用人口入力シート!BB$3,IF(管理者入力シート!$B$14=2,DG6*管理者用人口入力シート!BB$7))</f>
        <v>120.99466036941794</v>
      </c>
      <c r="DI9" s="9">
        <f>IF(管理者入力シート!$B$14=1,DH6*管理者用人口入力シート!BC$3,IF(管理者入力シート!$B$14=2,DH6*管理者用人口入力シート!BC$7))</f>
        <v>67.797239680012041</v>
      </c>
      <c r="DJ9" s="9">
        <f>IF(管理者入力シート!$B$14=1,DI6*管理者用人口入力シート!BD$3,IF(管理者入力シート!$B$14=2,DI6*管理者用人口入力シート!BD$7))</f>
        <v>20.481986953730292</v>
      </c>
      <c r="DK9" s="9">
        <f>IF(管理者入力シート!$B$14=1,DJ6*管理者用人口入力シート!BE$3,IF(管理者入力シート!$B$14=2,DJ6*管理者用人口入力シート!BE$7))</f>
        <v>2.824368591232814</v>
      </c>
      <c r="DL9" s="9">
        <f>IF(管理者入力シート!$B$14=1,DK6*管理者用人口入力シート!BF$3,IF(管理者入力シート!$B$14=2,DK6*管理者用人口入力シート!BF$7))</f>
        <v>5.5618949510875218E-2</v>
      </c>
      <c r="DM9" s="9">
        <f t="shared" si="68"/>
        <v>1216.998889069785</v>
      </c>
      <c r="DN9" s="9">
        <f t="shared" si="34"/>
        <v>60.77420347287007</v>
      </c>
      <c r="DO9" s="9">
        <f t="shared" si="35"/>
        <v>33.047419338132713</v>
      </c>
      <c r="DP9" s="9">
        <f t="shared" si="6"/>
        <v>532.70600677282278</v>
      </c>
      <c r="DQ9" s="9">
        <f t="shared" si="36"/>
        <v>330.8298110432014</v>
      </c>
      <c r="DR9" s="13">
        <f t="shared" si="37"/>
        <v>0.43772102962230097</v>
      </c>
      <c r="DS9" s="13">
        <f t="shared" si="38"/>
        <v>0.27184068450224441</v>
      </c>
      <c r="DT9" s="9">
        <f t="shared" si="69"/>
        <v>120.6487322970783</v>
      </c>
      <c r="DV9" s="7" t="s">
        <v>403</v>
      </c>
      <c r="DW9" s="209">
        <f>DW7+DW8</f>
        <v>-300.32866224113474</v>
      </c>
      <c r="DX9" s="28">
        <f>管理者入力シート!B10</f>
        <v>2035</v>
      </c>
      <c r="DY9" s="3" t="s">
        <v>21</v>
      </c>
      <c r="DZ9" s="9">
        <f>FB10*$AK$13</f>
        <v>102.44404453639633</v>
      </c>
      <c r="EA9" s="129">
        <f>IF(管理者入力シート!$B$14=1,DZ6*管理者用人口入力シート!AM$3,IF(管理者入力シート!$B$14=2,DZ6*管理者用人口入力シート!AM$7))</f>
        <v>113.8848988830658</v>
      </c>
      <c r="EB9" s="9">
        <f>IF(管理者入力シート!$B$14=1,EA6*管理者用人口入力シート!AN$3,IF(管理者入力シート!$B$14=2,EA6*管理者用人口入力シート!AN$7))</f>
        <v>53.365637030993476</v>
      </c>
      <c r="EC9" s="9">
        <f>IF(管理者入力シート!$B$14=1,EB6*管理者用人口入力シート!AO$3,IF(管理者入力シート!$B$14=2,EB6*管理者用人口入力シート!AO$7))</f>
        <v>53.440516427536672</v>
      </c>
      <c r="ED9" s="9">
        <f>IF(管理者入力シート!$B$14=1,EC6*管理者用人口入力シート!AP$3,IF(管理者入力シート!$B$14=2,EC6*管理者用人口入力シート!AP$7))</f>
        <v>26.082606631629726</v>
      </c>
      <c r="EE9" s="9">
        <f>IF(管理者入力シート!$B$14=1,ED6*管理者用人口入力シート!AQ$3,IF(管理者入力シート!$B$14=2,ED6*管理者用人口入力シート!AQ$7))+DX1</f>
        <v>78.963507014842975</v>
      </c>
      <c r="EF9" s="9">
        <f>IF(管理者入力シート!$B$14=1,EE6*管理者用人口入力シート!AR$3,IF(管理者入力シート!$B$14=2,EE6*管理者用人口入力シート!AR$7))+DX1</f>
        <v>125.02290260058282</v>
      </c>
      <c r="EG9" s="9">
        <f>IF(管理者入力シート!$B$14=1,EF6*管理者用人口入力シート!AS$3,IF(管理者入力シート!$B$14=2,EF6*管理者用人口入力シート!AS$7))+DX1</f>
        <v>163.80728473479269</v>
      </c>
      <c r="EH9" s="9">
        <f>IF(管理者入力シート!$B$14=1,EG6*管理者用人口入力シート!AT$3,IF(管理者入力シート!$B$14=2,EG6*管理者用人口入力シート!AT$7))</f>
        <v>146.07249323658809</v>
      </c>
      <c r="EI9" s="9">
        <f>IF(管理者入力シート!$B$14=1,EH6*管理者用人口入力シート!AU$3,IF(管理者入力シート!$B$14=2,EH6*管理者用人口入力シート!AU$7))</f>
        <v>104.1506564161372</v>
      </c>
      <c r="EJ9" s="9">
        <f>IF(管理者入力シート!$B$14=1,EI6*管理者用人口入力シート!AV$3,IF(管理者入力シート!$B$14=2,EI6*管理者用人口入力シート!AV$7))</f>
        <v>96.847167669805359</v>
      </c>
      <c r="EK9" s="9">
        <f>IF(管理者入力シート!$B$14=1,EJ6*管理者用人口入力シート!AW$3,IF(管理者入力シート!$B$14=2,EJ6*管理者用人口入力シート!AW$7))</f>
        <v>85.008392024008785</v>
      </c>
      <c r="EL9" s="9">
        <f>IF(管理者入力シート!$B$14=1,EK6*管理者用人口入力シート!AX$3,IF(管理者入力シート!$B$14=2,EK6*管理者用人口入力シート!AX$7))</f>
        <v>97.101097486215991</v>
      </c>
      <c r="EM9" s="9">
        <f>IF(管理者入力シート!$B$14=1,EL6*管理者用人口入力シート!AY$3,IF(管理者入力シート!$B$14=2,EL6*管理者用人口入力シート!AY$7))</f>
        <v>87.657879390421101</v>
      </c>
      <c r="EN9" s="9">
        <f>IF(管理者入力シート!$B$14=1,EM6*管理者用人口入力シート!AZ$3,IF(管理者入力シート!$B$14=2,EM6*管理者用人口入力シート!AZ$7))</f>
        <v>114.21831633920037</v>
      </c>
      <c r="EO9" s="9">
        <f>IF(管理者入力シート!$B$14=1,EN6*管理者用人口入力シート!BA$3,IF(管理者入力シート!$B$14=2,EN6*管理者用人口入力シート!BA$7))</f>
        <v>118.67593649929741</v>
      </c>
      <c r="EP9" s="9">
        <f>IF(管理者入力シート!$B$14=1,EO6*管理者用人口入力シート!BB$3,IF(管理者入力シート!$B$14=2,EO6*管理者用人口入力シート!BB$7))</f>
        <v>120.99466036941794</v>
      </c>
      <c r="EQ9" s="9">
        <f>IF(管理者入力シート!$B$14=1,EP6*管理者用人口入力シート!BC$3,IF(管理者入力シート!$B$14=2,EP6*管理者用人口入力シート!BC$7))</f>
        <v>67.797239680012041</v>
      </c>
      <c r="ER9" s="9">
        <f>IF(管理者入力シート!$B$14=1,EQ6*管理者用人口入力シート!BD$3,IF(管理者入力シート!$B$14=2,EQ6*管理者用人口入力シート!BD$7))</f>
        <v>20.481986953730292</v>
      </c>
      <c r="ES9" s="9">
        <f>IF(管理者入力シート!$B$14=1,ER6*管理者用人口入力シート!BE$3,IF(管理者入力シート!$B$14=2,ER6*管理者用人口入力シート!BE$7))</f>
        <v>2.824368591232814</v>
      </c>
      <c r="ET9" s="9">
        <f>IF(管理者入力シート!$B$14=1,ES6*管理者用人口入力シート!BF$3,IF(管理者入力シート!$B$14=2,ES6*管理者用人口入力シート!BF$7))</f>
        <v>5.5618949510875218E-2</v>
      </c>
      <c r="EU9" s="9">
        <f t="shared" si="70"/>
        <v>1778.8972114654191</v>
      </c>
      <c r="EV9" s="9">
        <f t="shared" si="41"/>
        <v>100.35032154843557</v>
      </c>
      <c r="EW9" s="9">
        <f t="shared" si="42"/>
        <v>32.034358097904729</v>
      </c>
      <c r="EX9" s="9">
        <f t="shared" si="10"/>
        <v>532.70600677282278</v>
      </c>
      <c r="EY9" s="9">
        <f t="shared" si="43"/>
        <v>330.8298110432014</v>
      </c>
      <c r="EZ9" s="13">
        <f t="shared" si="44"/>
        <v>0.29945856530630593</v>
      </c>
      <c r="FA9" s="13">
        <f t="shared" si="45"/>
        <v>0.18597466391589348</v>
      </c>
      <c r="FB9" s="9">
        <f t="shared" si="71"/>
        <v>393.8763009818482</v>
      </c>
    </row>
    <row r="10" spans="1:158" x14ac:dyDescent="0.15">
      <c r="A10" s="7" t="str">
        <f t="shared" si="11"/>
        <v>2015_2</v>
      </c>
      <c r="B10" s="29">
        <v>2015</v>
      </c>
      <c r="C10" s="4" t="s">
        <v>22</v>
      </c>
      <c r="D10" s="10">
        <v>68.184548742780464</v>
      </c>
      <c r="E10" s="10">
        <v>78.19843941426987</v>
      </c>
      <c r="F10" s="10">
        <v>101.02787371409681</v>
      </c>
      <c r="G10" s="10">
        <v>99.025256208311461</v>
      </c>
      <c r="H10" s="10">
        <v>59.577431305058049</v>
      </c>
      <c r="I10" s="10">
        <v>81.303846527818294</v>
      </c>
      <c r="J10" s="10">
        <v>82.407095074188589</v>
      </c>
      <c r="K10" s="10">
        <v>94.625819185967373</v>
      </c>
      <c r="L10" s="10">
        <v>108.34170701826032</v>
      </c>
      <c r="M10" s="10">
        <v>117.05059214748263</v>
      </c>
      <c r="N10" s="10">
        <v>138.8787750617428</v>
      </c>
      <c r="O10" s="10">
        <v>167.41242245687727</v>
      </c>
      <c r="P10" s="10">
        <v>198.15078855764932</v>
      </c>
      <c r="Q10" s="10">
        <v>220.18222001827974</v>
      </c>
      <c r="R10" s="10">
        <v>184.23325846411137</v>
      </c>
      <c r="S10" s="10">
        <v>163.40621220076619</v>
      </c>
      <c r="T10" s="10">
        <v>157.90450187659218</v>
      </c>
      <c r="U10" s="10">
        <v>142.88314956342492</v>
      </c>
      <c r="V10" s="10">
        <v>65.382264745347413</v>
      </c>
      <c r="W10" s="10">
        <v>15.920950741885928</v>
      </c>
      <c r="X10" s="10">
        <v>2.0028469750889681</v>
      </c>
      <c r="Y10" s="10">
        <v>2346.1000000000004</v>
      </c>
      <c r="Z10" s="10">
        <f t="shared" si="12"/>
        <v>107.53578787702001</v>
      </c>
      <c r="AA10" s="10">
        <f t="shared" si="13"/>
        <v>60.216200727301015</v>
      </c>
      <c r="AB10" s="10">
        <f t="shared" si="0"/>
        <v>951.91540458549662</v>
      </c>
      <c r="AC10" s="10">
        <f t="shared" si="14"/>
        <v>547.49992610310551</v>
      </c>
      <c r="AD10" s="14">
        <f t="shared" si="15"/>
        <v>0.40574374689292719</v>
      </c>
      <c r="AE10" s="14">
        <f t="shared" si="16"/>
        <v>0.23336598018119664</v>
      </c>
      <c r="AF10" s="10">
        <f t="shared" si="17"/>
        <v>317.91419209303228</v>
      </c>
      <c r="AL10" s="55"/>
      <c r="AM10" s="2">
        <v>5</v>
      </c>
      <c r="AN10" s="2">
        <f>AM10+1</f>
        <v>6</v>
      </c>
      <c r="AO10" s="2">
        <f t="shared" ref="AO10:BF10" si="115">AN10+1</f>
        <v>7</v>
      </c>
      <c r="AP10" s="2">
        <f t="shared" si="115"/>
        <v>8</v>
      </c>
      <c r="AQ10" s="2">
        <f t="shared" si="115"/>
        <v>9</v>
      </c>
      <c r="AR10" s="2">
        <f t="shared" si="115"/>
        <v>10</v>
      </c>
      <c r="AS10" s="2">
        <f t="shared" si="115"/>
        <v>11</v>
      </c>
      <c r="AT10" s="2">
        <f t="shared" si="115"/>
        <v>12</v>
      </c>
      <c r="AU10" s="2">
        <f t="shared" si="115"/>
        <v>13</v>
      </c>
      <c r="AV10" s="2">
        <f t="shared" si="115"/>
        <v>14</v>
      </c>
      <c r="AW10" s="2">
        <f t="shared" si="115"/>
        <v>15</v>
      </c>
      <c r="AX10" s="2">
        <f t="shared" si="115"/>
        <v>16</v>
      </c>
      <c r="AY10" s="2">
        <f t="shared" si="115"/>
        <v>17</v>
      </c>
      <c r="AZ10" s="2">
        <f t="shared" si="115"/>
        <v>18</v>
      </c>
      <c r="BA10" s="2">
        <f t="shared" si="115"/>
        <v>19</v>
      </c>
      <c r="BB10" s="2">
        <f t="shared" si="115"/>
        <v>20</v>
      </c>
      <c r="BC10" s="2">
        <f t="shared" si="115"/>
        <v>21</v>
      </c>
      <c r="BD10" s="2">
        <f t="shared" si="115"/>
        <v>22</v>
      </c>
      <c r="BE10" s="2">
        <f t="shared" si="115"/>
        <v>23</v>
      </c>
      <c r="BF10" s="2">
        <f t="shared" si="115"/>
        <v>24</v>
      </c>
      <c r="BH10" s="7" t="str">
        <f t="shared" si="19"/>
        <v>2035_2</v>
      </c>
      <c r="BI10" s="29">
        <f>BI9</f>
        <v>2035</v>
      </c>
      <c r="BJ10" s="4" t="s">
        <v>22</v>
      </c>
      <c r="BK10" s="10">
        <f>CM10*$AK$14</f>
        <v>27.611447498556664</v>
      </c>
      <c r="BL10" s="10">
        <f>IF(管理者入力シート!$B$14=1,BK7*管理者用人口入力シート!AM$4,IF(管理者入力シート!$B$14=2,BK7*管理者用人口入力シート!AM$8))</f>
        <v>31.065715848995779</v>
      </c>
      <c r="BM10" s="10">
        <f>IF(管理者入力シート!$B$14=1,BL7*管理者用人口入力シート!AN$4,IF(管理者入力シート!$B$14=2,BL7*管理者用人口入力シート!AN$8))</f>
        <v>38.041133618481574</v>
      </c>
      <c r="BN10" s="10">
        <f>IF(管理者入力シート!$B$14=1,BM7*管理者用人口入力シート!AO$4,IF(管理者入力シート!$B$14=2,BM7*管理者用人口入力シート!AO$8))</f>
        <v>41.343215654802044</v>
      </c>
      <c r="BO10" s="10">
        <f>IF(管理者入力シート!$B$14=1,BN7*管理者用人口入力シート!AP$4,IF(管理者入力シート!$B$14=2,BN7*管理者用人口入力シート!AP$8))</f>
        <v>28.963343907506729</v>
      </c>
      <c r="BP10" s="10">
        <f>IF(管理者入力シート!$B$14=1,BO7*管理者用人口入力シート!AQ$4,IF(管理者入力シート!$B$14=2,BO7*管理者用人口入力シート!AQ$8))</f>
        <v>30.067117410337488</v>
      </c>
      <c r="BQ10" s="10">
        <f>IF(管理者入力シート!$B$14=1,BP7*管理者用人口入力シート!AR$4,IF(管理者入力シート!$B$14=2,BP7*管理者用人口入力シート!AR$8))</f>
        <v>32.143034813858272</v>
      </c>
      <c r="BR10" s="10">
        <f>IF(管理者入力シート!$B$14=1,BQ7*管理者用人口入力シート!AS$4,IF(管理者入力シート!$B$14=2,BQ7*管理者用人口入力シート!AS$8))</f>
        <v>33.672743773398196</v>
      </c>
      <c r="BS10" s="10">
        <f>IF(管理者入力シート!$B$14=1,BR7*管理者用人口入力シート!AT$4,IF(管理者入力シート!$B$14=2,BR7*管理者用人口入力シート!AT$8))</f>
        <v>39.776316006809836</v>
      </c>
      <c r="BT10" s="10">
        <f>IF(管理者入力シート!$B$14=1,BS7*管理者用人口入力シート!AU$4,IF(管理者入力シート!$B$14=2,BS7*管理者用人口入力シート!AU$8))</f>
        <v>54.436574012936759</v>
      </c>
      <c r="BU10" s="10">
        <f>IF(管理者入力シート!$B$14=1,BT7*管理者用人口入力シート!AV$4,IF(管理者入力シート!$B$14=2,BT7*管理者用人口入力シート!AV$8))</f>
        <v>73.6179031991051</v>
      </c>
      <c r="BV10" s="10">
        <f>IF(管理者入力シート!$B$14=1,BU7*管理者用人口入力シート!AW$4,IF(管理者入力シート!$B$14=2,BU7*管理者用人口入力シート!AW$8))</f>
        <v>83.516070970592807</v>
      </c>
      <c r="BW10" s="10">
        <f>IF(管理者入力シート!$B$14=1,BV7*管理者用人口入力シート!AX$4,IF(管理者入力シート!$B$14=2,BV7*管理者用人口入力シート!AX$8))</f>
        <v>97.457202936955511</v>
      </c>
      <c r="BX10" s="10">
        <f>IF(管理者入力シート!$B$14=1,BW7*管理者用人口入力シート!AY$4,IF(管理者入力シート!$B$14=2,BW7*管理者用人口入力シート!AY$8))</f>
        <v>106.76070344780162</v>
      </c>
      <c r="BY10" s="10">
        <f>IF(管理者入力シート!$B$14=1,BX7*管理者用人口入力シート!AZ$4,IF(管理者入力シート!$B$14=2,BX7*管理者用人口入力シート!AZ$8))</f>
        <v>126.39418802071259</v>
      </c>
      <c r="BZ10" s="10">
        <f>IF(管理者入力シート!$B$14=1,BY7*管理者用人口入力シート!BA$4,IF(管理者入力シート!$B$14=2,BY7*管理者用人口入力シート!BA$8))</f>
        <v>144.91230865198102</v>
      </c>
      <c r="CA10" s="10">
        <f>IF(管理者入力シート!$B$14=1,BZ7*管理者用人口入力シート!BB$4,IF(管理者入力シート!$B$14=2,BZ7*管理者用人口入力シート!BB$8))</f>
        <v>135.9418827931265</v>
      </c>
      <c r="CB10" s="10">
        <f>IF(管理者入力シート!$B$14=1,CA7*管理者用人口入力シート!BC$4,IF(管理者入力シート!$B$14=2,CA7*管理者用人口入力シート!BC$8))</f>
        <v>116.16557993987412</v>
      </c>
      <c r="CC10" s="10">
        <f>IF(管理者入力シート!$B$14=1,CB7*管理者用人口入力シート!BD$4,IF(管理者入力シート!$B$14=2,CB7*管理者用人口入力シート!BD$8))</f>
        <v>54.705218302974167</v>
      </c>
      <c r="CD10" s="10">
        <f>IF(管理者入力シート!$B$14=1,CC7*管理者用人口入力シート!BE$4,IF(管理者入力シート!$B$14=2,CC7*管理者用人口入力シート!BE$8))</f>
        <v>18.130253028634996</v>
      </c>
      <c r="CE10" s="10">
        <f>IF(管理者入力シート!$B$14=1,CD7*管理者用人口入力シート!BF$4,IF(管理者入力シート!$B$14=2,CD7*管理者用人口入力シート!BF$8))</f>
        <v>2.5930079671114332</v>
      </c>
      <c r="CF10" s="10">
        <f t="shared" si="2"/>
        <v>1317.3149618045529</v>
      </c>
      <c r="CG10" s="10">
        <f t="shared" si="20"/>
        <v>41.464109680486409</v>
      </c>
      <c r="CH10" s="10">
        <f t="shared" si="21"/>
        <v>23.485096578353037</v>
      </c>
      <c r="CI10" s="10">
        <f t="shared" si="3"/>
        <v>705.60314215221649</v>
      </c>
      <c r="CJ10" s="10">
        <f t="shared" si="22"/>
        <v>472.44825068370227</v>
      </c>
      <c r="CK10" s="14">
        <f t="shared" si="23"/>
        <v>0.53563738559959151</v>
      </c>
      <c r="CL10" s="14">
        <f t="shared" si="24"/>
        <v>0.3586448680705096</v>
      </c>
      <c r="CM10" s="10">
        <f t="shared" si="25"/>
        <v>124.84623990510067</v>
      </c>
      <c r="CO10" s="7" t="str">
        <f t="shared" si="26"/>
        <v>2035_2</v>
      </c>
      <c r="CP10" s="29">
        <f>CP9</f>
        <v>2035</v>
      </c>
      <c r="CQ10" s="4" t="s">
        <v>22</v>
      </c>
      <c r="CR10" s="10">
        <f>DT10*$AK$14+将来予測シート②!$H17</f>
        <v>29.868074430942901</v>
      </c>
      <c r="CS10" s="10">
        <f>IF(管理者入力シート!$B$14=1,CR7*管理者用人口入力シート!AM$4,IF(管理者入力シート!$B$14=2,CR7*管理者用人口入力シート!AM$8))+将来予測シート②!$H18</f>
        <v>32.778140375552994</v>
      </c>
      <c r="CT10" s="10">
        <f>IF(管理者入力シート!$B$14=1,CS7*管理者用人口入力シート!AN$4,IF(管理者入力シート!$B$14=2,CS7*管理者用人口入力シート!AN$8))+将来予測シート②!$H19</f>
        <v>39.975075635560984</v>
      </c>
      <c r="CU10" s="10">
        <f>IF(管理者入力シート!$B$14=1,CT7*管理者用人口入力シート!AO$4,IF(管理者入力シート!$B$14=2,CT7*管理者用人口入力シート!AO$8))+将来予測シート②!$H20</f>
        <v>42.191894353370834</v>
      </c>
      <c r="CV10" s="10">
        <f>IF(管理者入力シート!$B$14=1,CU7*管理者用人口入力シート!AP$4,IF(管理者入力シート!$B$14=2,CU7*管理者用人口入力シート!AP$8))+将来予測シート②!$H21</f>
        <v>29.418561255581174</v>
      </c>
      <c r="CW10" s="10">
        <f>IF(管理者入力シート!$B$14=1,CV7*管理者用人口入力シート!AQ$4,IF(管理者入力シート!$B$14=2,CV7*管理者用人口入力シート!AQ$8))+将来予測シート②!$H22</f>
        <v>32.067117410337488</v>
      </c>
      <c r="CX10" s="10">
        <f>IF(管理者入力シート!$B$14=1,CW7*管理者用人口入力シート!AR$4,IF(管理者入力シート!$B$14=2,CW7*管理者用人口入力シート!AR$8))+将来予測シート②!$H23</f>
        <v>33.787372917451577</v>
      </c>
      <c r="CY10" s="10">
        <f>IF(管理者入力シート!$B$14=1,CX7*管理者用人口入力シート!AS$4,IF(管理者入力シート!$B$14=2,CX7*管理者用人口入力シート!AS$8))+将来予測シート②!$H24</f>
        <v>35.255076150324129</v>
      </c>
      <c r="CZ10" s="10">
        <f>IF(管理者入力シート!$B$14=1,CY7*管理者用人口入力シート!AT$4,IF(管理者入力シート!$B$14=2,CY7*管理者用人口入力シート!AT$8))+将来予測シート②!$H25</f>
        <v>40.776316006809836</v>
      </c>
      <c r="DA10" s="10">
        <f>IF(管理者入力シート!$B$14=1,CZ7*管理者用人口入力シート!AU$4,IF(管理者入力シート!$B$14=2,CZ7*管理者用人口入力シート!AU$8))+将来予測シート②!$H26</f>
        <v>55.408782173276833</v>
      </c>
      <c r="DB10" s="10">
        <f>IF(管理者入力シート!$B$14=1,DA7*管理者用人口入力シート!AV$4,IF(管理者入力シート!$B$14=2,DA7*管理者用人口入力シート!AV$8))+将来予測シート②!$H27</f>
        <v>74.541679297791063</v>
      </c>
      <c r="DC10" s="10">
        <f>IF(管理者入力シート!$B$14=1,DB7*管理者用人口入力シート!AW$4,IF(管理者入力シート!$B$14=2,DB7*管理者用人口入力シート!AW$8))+将来予測シート②!$H28</f>
        <v>83.516070970592807</v>
      </c>
      <c r="DD10" s="10">
        <f>IF(管理者入力シート!$B$14=1,DC7*管理者用人口入力シート!AX$4,IF(管理者入力シート!$B$14=2,DC7*管理者用人口入力シート!AX$8))+将来予測シート②!$H29</f>
        <v>97.457202936955511</v>
      </c>
      <c r="DE10" s="10">
        <f>IF(管理者入力シート!$B$14=1,DD7*管理者用人口入力シート!AY$4,IF(管理者入力シート!$B$14=2,DD7*管理者用人口入力シート!AY$8))</f>
        <v>106.76070344780162</v>
      </c>
      <c r="DF10" s="10">
        <f>IF(管理者入力シート!$B$14=1,DE7*管理者用人口入力シート!AZ$4,IF(管理者入力シート!$B$14=2,DE7*管理者用人口入力シート!AZ$8))</f>
        <v>126.39418802071259</v>
      </c>
      <c r="DG10" s="10">
        <f>IF(管理者入力シート!$B$14=1,DF7*管理者用人口入力シート!BA$4,IF(管理者入力シート!$B$14=2,DF7*管理者用人口入力シート!BA$8))</f>
        <v>144.91230865198102</v>
      </c>
      <c r="DH10" s="10">
        <f>IF(管理者入力シート!$B$14=1,DG7*管理者用人口入力シート!BB$4,IF(管理者入力シート!$B$14=2,DG7*管理者用人口入力シート!BB$8))</f>
        <v>135.9418827931265</v>
      </c>
      <c r="DI10" s="10">
        <f>IF(管理者入力シート!$B$14=1,DH7*管理者用人口入力シート!BC$4,IF(管理者入力シート!$B$14=2,DH7*管理者用人口入力シート!BC$8))</f>
        <v>116.16557993987412</v>
      </c>
      <c r="DJ10" s="10">
        <f>IF(管理者入力シート!$B$14=1,DI7*管理者用人口入力シート!BD$4,IF(管理者入力シート!$B$14=2,DI7*管理者用人口入力シート!BD$8))</f>
        <v>54.705218302974167</v>
      </c>
      <c r="DK10" s="10">
        <f>IF(管理者入力シート!$B$14=1,DJ7*管理者用人口入力シート!BE$4,IF(管理者入力シート!$B$14=2,DJ7*管理者用人口入力シート!BE$8))</f>
        <v>18.130253028634996</v>
      </c>
      <c r="DL10" s="10">
        <f>IF(管理者入力シート!$B$14=1,DK7*管理者用人口入力シート!BF$4,IF(管理者入力シート!$B$14=2,DK7*管理者用人口入力シート!BF$8))</f>
        <v>2.5930079671114332</v>
      </c>
      <c r="DM10" s="10">
        <f t="shared" si="68"/>
        <v>1332.6445060667643</v>
      </c>
      <c r="DN10" s="10">
        <f t="shared" si="34"/>
        <v>43.651929606668389</v>
      </c>
      <c r="DO10" s="10">
        <f t="shared" si="35"/>
        <v>24.428409124898561</v>
      </c>
      <c r="DP10" s="10">
        <f t="shared" si="6"/>
        <v>705.60314215221649</v>
      </c>
      <c r="DQ10" s="10">
        <f t="shared" si="36"/>
        <v>472.44825068370227</v>
      </c>
      <c r="DR10" s="14">
        <f t="shared" si="37"/>
        <v>0.52947589468910206</v>
      </c>
      <c r="DS10" s="14">
        <f t="shared" si="38"/>
        <v>0.35451933995369134</v>
      </c>
      <c r="DT10" s="10">
        <f t="shared" si="69"/>
        <v>130.52812773369436</v>
      </c>
      <c r="DV10" s="62" t="s">
        <v>405</v>
      </c>
      <c r="DW10" s="209">
        <f>((SUM(BL12:BL13)*3/5+SUM(BM12:BM13)+SUM(BN12:BN13)*1/5)-(SUM(E12:E13)*3/5+SUM(F12:F13)+SUM(G12:G13)*1/5))/4</f>
        <v>-37.253531507805327</v>
      </c>
      <c r="DX10" s="29">
        <f>DX9</f>
        <v>2035</v>
      </c>
      <c r="DY10" s="4" t="s">
        <v>22</v>
      </c>
      <c r="DZ10" s="10">
        <f>FB10*$AK$14</f>
        <v>89.267738354281263</v>
      </c>
      <c r="EA10" s="10">
        <f>IF(管理者入力シート!$B$14=1,DZ7*管理者用人口入力シート!AM$4,IF(管理者入力シート!$B$14=2,DZ7*管理者用人口入力シート!AM$8))</f>
        <v>81.231957414600501</v>
      </c>
      <c r="EB10" s="10">
        <f>IF(管理者入力シート!$B$14=1,EA7*管理者用人口入力シート!AN$4,IF(管理者入力シート!$B$14=2,EA7*管理者用人口入力シート!AN$8))</f>
        <v>38.041133618481574</v>
      </c>
      <c r="EC10" s="10">
        <f>IF(管理者入力シート!$B$14=1,EB7*管理者用人口入力シート!AO$4,IF(管理者入力シート!$B$14=2,EB7*管理者用人口入力シート!AO$8))</f>
        <v>41.343215654802044</v>
      </c>
      <c r="ED10" s="10">
        <f>IF(管理者入力シート!$B$14=1,EC7*管理者用人口入力シート!AP$4,IF(管理者入力シート!$B$14=2,EC7*管理者用人口入力シート!AP$8))</f>
        <v>28.963343907506729</v>
      </c>
      <c r="EE10" s="10">
        <f>IF(管理者入力シート!$B$14=1,ED7*管理者用人口入力シート!AQ$4,IF(管理者入力シート!$B$14=2,ED7*管理者用人口入力シート!AQ$8))+DX1</f>
        <v>80.067117410337488</v>
      </c>
      <c r="EF10" s="10">
        <f>IF(管理者入力シート!$B$14=1,EE7*管理者用人口入力シート!AR$4,IF(管理者入力シート!$B$14=2,EE7*管理者用人口入力シート!AR$8))+DX1</f>
        <v>123.25148740369094</v>
      </c>
      <c r="EG10" s="10">
        <f>IF(管理者入力シート!$B$14=1,EF7*管理者用人口入力シート!AS$4,IF(管理者入力シート!$B$14=2,EF7*管理者用人口入力シート!AS$8))+DX1</f>
        <v>171.34562201509229</v>
      </c>
      <c r="EH10" s="10">
        <f>IF(管理者入力シート!$B$14=1,EG7*管理者用人口入力シート!AT$4,IF(管理者入力シート!$B$14=2,EG7*管理者用人口入力シート!AT$8))</f>
        <v>138.5111939242978</v>
      </c>
      <c r="EI10" s="10">
        <f>IF(管理者入力シート!$B$14=1,EH7*管理者用人口入力シート!AU$4,IF(管理者入力シート!$B$14=2,EH7*管理者用人口入力シート!AU$8))</f>
        <v>103.35431129570924</v>
      </c>
      <c r="EJ10" s="10">
        <f>IF(管理者入力シート!$B$14=1,EI7*管理者用人口入力シート!AV$4,IF(管理者入力シート!$B$14=2,EI7*管理者用人口入力シート!AV$8))</f>
        <v>73.6179031991051</v>
      </c>
      <c r="EK10" s="10">
        <f>IF(管理者入力シート!$B$14=1,EJ7*管理者用人口入力シート!AW$4,IF(管理者入力シート!$B$14=2,EJ7*管理者用人口入力シート!AW$8))</f>
        <v>83.516070970592807</v>
      </c>
      <c r="EL10" s="10">
        <f>IF(管理者入力シート!$B$14=1,EK7*管理者用人口入力シート!AX$4,IF(管理者入力シート!$B$14=2,EK7*管理者用人口入力シート!AX$8))</f>
        <v>97.457202936955511</v>
      </c>
      <c r="EM10" s="10">
        <f>IF(管理者入力シート!$B$14=1,EL7*管理者用人口入力シート!AY$4,IF(管理者入力シート!$B$14=2,EL7*管理者用人口入力シート!AY$8))</f>
        <v>106.76070344780162</v>
      </c>
      <c r="EN10" s="10">
        <f>IF(管理者入力シート!$B$14=1,EM7*管理者用人口入力シート!AZ$4,IF(管理者入力シート!$B$14=2,EM7*管理者用人口入力シート!AZ$8))</f>
        <v>126.39418802071259</v>
      </c>
      <c r="EO10" s="10">
        <f>IF(管理者入力シート!$B$14=1,EN7*管理者用人口入力シート!BA$4,IF(管理者入力シート!$B$14=2,EN7*管理者用人口入力シート!BA$8))</f>
        <v>144.91230865198102</v>
      </c>
      <c r="EP10" s="10">
        <f>IF(管理者入力シート!$B$14=1,EO7*管理者用人口入力シート!BB$4,IF(管理者入力シート!$B$14=2,EO7*管理者用人口入力シート!BB$8))</f>
        <v>135.9418827931265</v>
      </c>
      <c r="EQ10" s="10">
        <f>IF(管理者入力シート!$B$14=1,EP7*管理者用人口入力シート!BC$4,IF(管理者入力シート!$B$14=2,EP7*管理者用人口入力シート!BC$8))</f>
        <v>116.16557993987412</v>
      </c>
      <c r="ER10" s="10">
        <f>IF(管理者入力シート!$B$14=1,EQ7*管理者用人口入力シート!BD$4,IF(管理者入力シート!$B$14=2,EQ7*管理者用人口入力シート!BD$8))</f>
        <v>54.705218302974167</v>
      </c>
      <c r="ES10" s="10">
        <f>IF(管理者入力シート!$B$14=1,ER7*管理者用人口入力シート!BE$4,IF(管理者入力シート!$B$14=2,ER7*管理者用人口入力シート!BE$8))</f>
        <v>18.130253028634996</v>
      </c>
      <c r="ET10" s="10">
        <f>IF(管理者入力シート!$B$14=1,ES7*管理者用人口入力シート!BF$4,IF(管理者入力シート!$B$14=2,ES7*管理者用人口入力シート!BF$8))</f>
        <v>2.5930079671114332</v>
      </c>
      <c r="EU10" s="10">
        <f t="shared" si="70"/>
        <v>1855.5714402576698</v>
      </c>
      <c r="EV10" s="10">
        <f t="shared" si="41"/>
        <v>71.563854619849238</v>
      </c>
      <c r="EW10" s="10">
        <f t="shared" si="42"/>
        <v>23.485096578353037</v>
      </c>
      <c r="EX10" s="10">
        <f t="shared" si="10"/>
        <v>705.60314215221649</v>
      </c>
      <c r="EY10" s="10">
        <f t="shared" si="43"/>
        <v>472.44825068370227</v>
      </c>
      <c r="EZ10" s="14">
        <f t="shared" si="44"/>
        <v>0.3802619111524127</v>
      </c>
      <c r="FA10" s="14">
        <f t="shared" si="45"/>
        <v>0.25461065008528955</v>
      </c>
      <c r="FB10" s="10">
        <f t="shared" si="71"/>
        <v>403.62757073662749</v>
      </c>
    </row>
    <row r="11" spans="1:158" x14ac:dyDescent="0.15">
      <c r="A11" s="7" t="str">
        <f t="shared" si="11"/>
        <v>2015_3</v>
      </c>
      <c r="B11" s="30">
        <v>2015</v>
      </c>
      <c r="C11" s="5" t="s">
        <v>23</v>
      </c>
      <c r="D11" s="11">
        <v>121.9089389866829</v>
      </c>
      <c r="E11" s="11">
        <v>163.43959795085524</v>
      </c>
      <c r="F11" s="11">
        <v>212.2858005433651</v>
      </c>
      <c r="G11" s="11">
        <v>191.85726840343341</v>
      </c>
      <c r="H11" s="11">
        <v>124.49115081725316</v>
      </c>
      <c r="I11" s="11">
        <v>142.43433433269635</v>
      </c>
      <c r="J11" s="11">
        <v>191.06197312296908</v>
      </c>
      <c r="K11" s="11">
        <v>177.76088016157712</v>
      </c>
      <c r="L11" s="11">
        <v>217.59658506704079</v>
      </c>
      <c r="M11" s="11">
        <v>224.19784824504362</v>
      </c>
      <c r="N11" s="11">
        <v>269.73822628125504</v>
      </c>
      <c r="O11" s="11">
        <v>327.78559318858458</v>
      </c>
      <c r="P11" s="11">
        <v>406.2513983137469</v>
      </c>
      <c r="Q11" s="11">
        <v>427.6950248963285</v>
      </c>
      <c r="R11" s="11">
        <v>331.4094779763065</v>
      </c>
      <c r="S11" s="11">
        <v>298.07785854222959</v>
      </c>
      <c r="T11" s="11">
        <v>275.66700187659217</v>
      </c>
      <c r="U11" s="11">
        <v>203.21973492927859</v>
      </c>
      <c r="V11" s="11">
        <v>81.395984257542537</v>
      </c>
      <c r="W11" s="11">
        <v>18.822475132129831</v>
      </c>
      <c r="X11" s="11">
        <v>2.9028469750889681</v>
      </c>
      <c r="Y11" s="11">
        <v>4409.9999999999991</v>
      </c>
      <c r="Z11" s="11">
        <f t="shared" si="12"/>
        <v>225.4352390965322</v>
      </c>
      <c r="AA11" s="11">
        <f t="shared" si="13"/>
        <v>123.28577389803273</v>
      </c>
      <c r="AB11" s="11">
        <f t="shared" si="0"/>
        <v>1639.1904045854967</v>
      </c>
      <c r="AC11" s="11">
        <f t="shared" si="14"/>
        <v>880.08590171286176</v>
      </c>
      <c r="AD11" s="15">
        <f t="shared" si="15"/>
        <v>0.37169850444115582</v>
      </c>
      <c r="AE11" s="15">
        <f t="shared" si="16"/>
        <v>0.19956596410722494</v>
      </c>
      <c r="AF11" s="11">
        <f t="shared" si="17"/>
        <v>635.74833843449574</v>
      </c>
      <c r="BH11" s="7" t="str">
        <f t="shared" si="19"/>
        <v>2035_3</v>
      </c>
      <c r="BI11" s="30">
        <f>BI10</f>
        <v>2035</v>
      </c>
      <c r="BJ11" s="5" t="s">
        <v>23</v>
      </c>
      <c r="BK11" s="16">
        <f>BK9+BK10</f>
        <v>59.29846466068517</v>
      </c>
      <c r="BL11" s="16">
        <f t="shared" ref="BL11" si="116">BL9+BL10</f>
        <v>74.618967805436256</v>
      </c>
      <c r="BM11" s="16">
        <f t="shared" ref="BM11" si="117">BM9+BM10</f>
        <v>91.40677064947505</v>
      </c>
      <c r="BN11" s="16">
        <f t="shared" ref="BN11" si="118">BN9+BN10</f>
        <v>94.783732082338716</v>
      </c>
      <c r="BO11" s="16">
        <f t="shared" ref="BO11" si="119">BO9+BO10</f>
        <v>55.045950539136456</v>
      </c>
      <c r="BP11" s="16">
        <f t="shared" ref="BP11" si="120">BP9+BP10</f>
        <v>59.030624425180463</v>
      </c>
      <c r="BQ11" s="16">
        <f t="shared" ref="BQ11" si="121">BQ9+BQ10</f>
        <v>62.786650626213742</v>
      </c>
      <c r="BR11" s="16">
        <f t="shared" ref="BR11" si="122">BR9+BR10</f>
        <v>62.864364703942407</v>
      </c>
      <c r="BS11" s="16">
        <f t="shared" ref="BS11" si="123">BS9+BS10</f>
        <v>83.829082988654591</v>
      </c>
      <c r="BT11" s="16">
        <f t="shared" ref="BT11" si="124">BT9+BT10</f>
        <v>105.42932616339954</v>
      </c>
      <c r="BU11" s="16">
        <f t="shared" ref="BU11" si="125">BU9+BU10</f>
        <v>170.46507086891046</v>
      </c>
      <c r="BV11" s="16">
        <f t="shared" ref="BV11" si="126">BV9+BV10</f>
        <v>168.52446299460161</v>
      </c>
      <c r="BW11" s="16">
        <f t="shared" ref="BW11" si="127">BW9+BW10</f>
        <v>194.55830042317149</v>
      </c>
      <c r="BX11" s="16">
        <f t="shared" ref="BX11" si="128">BX9+BX10</f>
        <v>194.41858283822273</v>
      </c>
      <c r="BY11" s="16">
        <f t="shared" ref="BY11" si="129">BY9+BY10</f>
        <v>240.61250435991298</v>
      </c>
      <c r="BZ11" s="16">
        <f t="shared" ref="BZ11" si="130">BZ9+BZ10</f>
        <v>263.58824515127844</v>
      </c>
      <c r="CA11" s="16">
        <f t="shared" ref="CA11" si="131">CA9+CA10</f>
        <v>256.93654316254447</v>
      </c>
      <c r="CB11" s="16">
        <f t="shared" ref="CB11" si="132">CB9+CB10</f>
        <v>183.96281961988615</v>
      </c>
      <c r="CC11" s="16">
        <f t="shared" ref="CC11" si="133">CC9+CC10</f>
        <v>75.187205256704459</v>
      </c>
      <c r="CD11" s="16">
        <f t="shared" ref="CD11" si="134">CD9+CD10</f>
        <v>20.954621619867812</v>
      </c>
      <c r="CE11" s="16">
        <f t="shared" ref="CE11" si="135">CE9+CE10</f>
        <v>2.6486269166223084</v>
      </c>
      <c r="CF11" s="11">
        <f t="shared" si="2"/>
        <v>2520.9509178561852</v>
      </c>
      <c r="CG11" s="11">
        <f t="shared" si="20"/>
        <v>99.615443072946789</v>
      </c>
      <c r="CH11" s="11">
        <f t="shared" si="21"/>
        <v>55.519454676257766</v>
      </c>
      <c r="CI11" s="11">
        <f t="shared" si="3"/>
        <v>1238.3091489250394</v>
      </c>
      <c r="CJ11" s="11">
        <f t="shared" si="22"/>
        <v>803.27806172690373</v>
      </c>
      <c r="CK11" s="15">
        <f t="shared" si="23"/>
        <v>0.49120716319939167</v>
      </c>
      <c r="CL11" s="15">
        <f t="shared" si="24"/>
        <v>0.31864089698739984</v>
      </c>
      <c r="CM11" s="11">
        <f t="shared" si="25"/>
        <v>239.72759029447306</v>
      </c>
      <c r="CO11" s="7" t="str">
        <f t="shared" si="26"/>
        <v>2035_3</v>
      </c>
      <c r="CP11" s="30">
        <f>CP10</f>
        <v>2035</v>
      </c>
      <c r="CQ11" s="5" t="s">
        <v>23</v>
      </c>
      <c r="CR11" s="16">
        <f>CR9+CR10</f>
        <v>63.997202122589897</v>
      </c>
      <c r="CS11" s="16">
        <f t="shared" ref="CS11" si="136">CS9+CS10</f>
        <v>78.561184588895898</v>
      </c>
      <c r="CT11" s="16">
        <f t="shared" ref="CT11" si="137">CT9+CT10</f>
        <v>95.482370543668196</v>
      </c>
      <c r="CU11" s="16">
        <f t="shared" ref="CU11" si="138">CU9+CU10</f>
        <v>96.414401227819951</v>
      </c>
      <c r="CV11" s="16">
        <f t="shared" ref="CV11" si="139">CV9+CV10</f>
        <v>55.901849953748297</v>
      </c>
      <c r="CW11" s="16">
        <f t="shared" ref="CW11" si="140">CW9+CW10</f>
        <v>63.030624425180463</v>
      </c>
      <c r="CX11" s="16">
        <f t="shared" ref="CX11" si="141">CX9+CX10</f>
        <v>66.206160201336132</v>
      </c>
      <c r="CY11" s="16">
        <f t="shared" ref="CY11" si="142">CY9+CY10</f>
        <v>66.038225450507767</v>
      </c>
      <c r="CZ11" s="16">
        <f t="shared" ref="CZ11" si="143">CZ9+CZ10</f>
        <v>84.829082988654591</v>
      </c>
      <c r="DA11" s="16">
        <f t="shared" ref="DA11" si="144">DA9+DA10</f>
        <v>106.40153432373961</v>
      </c>
      <c r="DB11" s="16">
        <f t="shared" ref="DB11" si="145">DB9+DB10</f>
        <v>171.38884696759641</v>
      </c>
      <c r="DC11" s="16">
        <f t="shared" ref="DC11" si="146">DC9+DC10</f>
        <v>168.52446299460161</v>
      </c>
      <c r="DD11" s="16">
        <f t="shared" ref="DD11" si="147">DD9+DD10</f>
        <v>194.55830042317149</v>
      </c>
      <c r="DE11" s="16">
        <f t="shared" ref="DE11" si="148">DE9+DE10</f>
        <v>194.41858283822273</v>
      </c>
      <c r="DF11" s="16">
        <f t="shared" ref="DF11" si="149">DF9+DF10</f>
        <v>240.61250435991298</v>
      </c>
      <c r="DG11" s="16">
        <f t="shared" ref="DG11" si="150">DG9+DG10</f>
        <v>263.58824515127844</v>
      </c>
      <c r="DH11" s="16">
        <f t="shared" ref="DH11" si="151">DH9+DH10</f>
        <v>256.93654316254447</v>
      </c>
      <c r="DI11" s="16">
        <f t="shared" ref="DI11" si="152">DI9+DI10</f>
        <v>183.96281961988615</v>
      </c>
      <c r="DJ11" s="16">
        <f t="shared" ref="DJ11" si="153">DJ9+DJ10</f>
        <v>75.187205256704459</v>
      </c>
      <c r="DK11" s="16">
        <f t="shared" ref="DK11" si="154">DK9+DK10</f>
        <v>20.954621619867812</v>
      </c>
      <c r="DL11" s="16">
        <f t="shared" ref="DL11" si="155">DL9+DL10</f>
        <v>2.6486269166223084</v>
      </c>
      <c r="DM11" s="11">
        <f t="shared" si="68"/>
        <v>2549.6433951365493</v>
      </c>
      <c r="DN11" s="11">
        <f t="shared" si="34"/>
        <v>104.42613307953846</v>
      </c>
      <c r="DO11" s="11">
        <f t="shared" si="35"/>
        <v>57.475828463031263</v>
      </c>
      <c r="DP11" s="11">
        <f t="shared" si="6"/>
        <v>1238.3091489250394</v>
      </c>
      <c r="DQ11" s="11">
        <f t="shared" si="36"/>
        <v>803.27806172690373</v>
      </c>
      <c r="DR11" s="15">
        <f t="shared" si="37"/>
        <v>0.48567935080141678</v>
      </c>
      <c r="DS11" s="15">
        <f t="shared" si="38"/>
        <v>0.31505506348815621</v>
      </c>
      <c r="DT11" s="11">
        <f t="shared" si="69"/>
        <v>251.17686003077267</v>
      </c>
      <c r="DW11" s="210"/>
      <c r="DX11" s="30">
        <f>DX10</f>
        <v>2035</v>
      </c>
      <c r="DY11" s="5" t="s">
        <v>23</v>
      </c>
      <c r="DZ11" s="16">
        <f>DZ9+DZ10</f>
        <v>191.7117828906776</v>
      </c>
      <c r="EA11" s="16">
        <f t="shared" ref="EA11" si="156">EA9+EA10</f>
        <v>195.11685629766629</v>
      </c>
      <c r="EB11" s="16">
        <f t="shared" ref="EB11" si="157">EB9+EB10</f>
        <v>91.40677064947505</v>
      </c>
      <c r="EC11" s="16">
        <f t="shared" ref="EC11" si="158">EC9+EC10</f>
        <v>94.783732082338716</v>
      </c>
      <c r="ED11" s="16">
        <f t="shared" ref="ED11" si="159">ED9+ED10</f>
        <v>55.045950539136456</v>
      </c>
      <c r="EE11" s="16">
        <f t="shared" ref="EE11" si="160">EE9+EE10</f>
        <v>159.03062442518046</v>
      </c>
      <c r="EF11" s="16">
        <f t="shared" ref="EF11" si="161">EF9+EF10</f>
        <v>248.27439000427376</v>
      </c>
      <c r="EG11" s="16">
        <f t="shared" ref="EG11" si="162">EG9+EG10</f>
        <v>335.15290674988501</v>
      </c>
      <c r="EH11" s="16">
        <f t="shared" ref="EH11" si="163">EH9+EH10</f>
        <v>284.58368716088592</v>
      </c>
      <c r="EI11" s="16">
        <f t="shared" ref="EI11" si="164">EI9+EI10</f>
        <v>207.50496771184643</v>
      </c>
      <c r="EJ11" s="16">
        <f t="shared" ref="EJ11" si="165">EJ9+EJ10</f>
        <v>170.46507086891046</v>
      </c>
      <c r="EK11" s="16">
        <f t="shared" ref="EK11" si="166">EK9+EK10</f>
        <v>168.52446299460161</v>
      </c>
      <c r="EL11" s="16">
        <f t="shared" ref="EL11" si="167">EL9+EL10</f>
        <v>194.55830042317149</v>
      </c>
      <c r="EM11" s="16">
        <f t="shared" ref="EM11" si="168">EM9+EM10</f>
        <v>194.41858283822273</v>
      </c>
      <c r="EN11" s="16">
        <f t="shared" ref="EN11" si="169">EN9+EN10</f>
        <v>240.61250435991298</v>
      </c>
      <c r="EO11" s="16">
        <f t="shared" ref="EO11" si="170">EO9+EO10</f>
        <v>263.58824515127844</v>
      </c>
      <c r="EP11" s="16">
        <f t="shared" ref="EP11" si="171">EP9+EP10</f>
        <v>256.93654316254447</v>
      </c>
      <c r="EQ11" s="16">
        <f t="shared" ref="EQ11" si="172">EQ9+EQ10</f>
        <v>183.96281961988615</v>
      </c>
      <c r="ER11" s="16">
        <f t="shared" ref="ER11" si="173">ER9+ER10</f>
        <v>75.187205256704459</v>
      </c>
      <c r="ES11" s="16">
        <f t="shared" ref="ES11" si="174">ES9+ES10</f>
        <v>20.954621619867812</v>
      </c>
      <c r="ET11" s="16">
        <f t="shared" ref="ET11" si="175">ET9+ET10</f>
        <v>2.6486269166223084</v>
      </c>
      <c r="EU11" s="11">
        <f t="shared" si="70"/>
        <v>3634.4686517230889</v>
      </c>
      <c r="EV11" s="11">
        <f t="shared" si="41"/>
        <v>171.9141761682848</v>
      </c>
      <c r="EW11" s="11">
        <f t="shared" si="42"/>
        <v>55.519454676257766</v>
      </c>
      <c r="EX11" s="11">
        <f t="shared" si="10"/>
        <v>1238.3091489250394</v>
      </c>
      <c r="EY11" s="11">
        <f t="shared" si="43"/>
        <v>803.27806172690373</v>
      </c>
      <c r="EZ11" s="15">
        <f t="shared" si="44"/>
        <v>0.3407125683524499</v>
      </c>
      <c r="FA11" s="15">
        <f t="shared" si="45"/>
        <v>0.22101664333961785</v>
      </c>
      <c r="FB11" s="11">
        <f t="shared" si="71"/>
        <v>797.50387171847569</v>
      </c>
    </row>
    <row r="12" spans="1:158" x14ac:dyDescent="0.15">
      <c r="A12" s="7" t="str">
        <f t="shared" si="11"/>
        <v>2020_1</v>
      </c>
      <c r="B12" s="28">
        <v>2020</v>
      </c>
      <c r="C12" s="3" t="s">
        <v>21</v>
      </c>
      <c r="D12" s="9">
        <v>59.859518790031153</v>
      </c>
      <c r="E12" s="9">
        <v>66.047598741266768</v>
      </c>
      <c r="F12" s="9">
        <v>87.744578723053678</v>
      </c>
      <c r="G12" s="9">
        <v>81.7900151579571</v>
      </c>
      <c r="H12" s="9">
        <v>44.528992949661948</v>
      </c>
      <c r="I12" s="9">
        <v>51.456322211776914</v>
      </c>
      <c r="J12" s="9">
        <v>53.497874924050834</v>
      </c>
      <c r="K12" s="9">
        <v>97.700347176554658</v>
      </c>
      <c r="L12" s="9">
        <v>92.652948524244636</v>
      </c>
      <c r="M12" s="9">
        <v>107.84097617047527</v>
      </c>
      <c r="N12" s="9">
        <v>93.673724880381599</v>
      </c>
      <c r="O12" s="9">
        <v>130.42535197011759</v>
      </c>
      <c r="P12" s="9">
        <v>155.11123295342816</v>
      </c>
      <c r="Q12" s="9">
        <v>199.81378981783479</v>
      </c>
      <c r="R12" s="9">
        <v>194.80592935538715</v>
      </c>
      <c r="S12" s="9">
        <v>125.92123831339163</v>
      </c>
      <c r="T12" s="9">
        <v>100.55522245319594</v>
      </c>
      <c r="U12" s="9">
        <v>56.939042729158054</v>
      </c>
      <c r="V12" s="9">
        <v>28.715327435902338</v>
      </c>
      <c r="W12" s="9">
        <v>2.0133111480865225</v>
      </c>
      <c r="X12" s="9">
        <v>1.0066555740432612</v>
      </c>
      <c r="Y12" s="9">
        <f t="shared" ref="Y12:Y14" si="176">SUM(D12:X12)</f>
        <v>1832.1</v>
      </c>
      <c r="Z12" s="9">
        <f>E12*3/5+F12*3/5</f>
        <v>92.27530647859227</v>
      </c>
      <c r="AA12" s="9">
        <f>F12*2/5+G12*1/5</f>
        <v>51.455834520812886</v>
      </c>
      <c r="AB12" s="9">
        <f t="shared" ref="AB12:AB14" si="177">SUM(Q12:X12)</f>
        <v>709.77051682699971</v>
      </c>
      <c r="AC12" s="9">
        <f>SUM(S12:X12)</f>
        <v>315.15079765377772</v>
      </c>
      <c r="AD12" s="13">
        <f>AB12/Y12</f>
        <v>0.38740817467769212</v>
      </c>
      <c r="AE12" s="13">
        <f>AC12/Y12</f>
        <v>0.17201615504272569</v>
      </c>
      <c r="AF12" s="9">
        <f>SUM(H12:K12)</f>
        <v>247.18353726204435</v>
      </c>
      <c r="AK12" s="61">
        <f>管理者入力シート!B5</f>
        <v>2020</v>
      </c>
      <c r="AL12" s="62"/>
      <c r="BH12" s="7" t="str">
        <f t="shared" si="19"/>
        <v>2040_1</v>
      </c>
      <c r="BI12" s="28">
        <f>管理者入力シート!B11</f>
        <v>2040</v>
      </c>
      <c r="BJ12" s="3" t="s">
        <v>21</v>
      </c>
      <c r="BK12" s="9">
        <f>CM13*$AK$13</f>
        <v>26.154910898902081</v>
      </c>
      <c r="BL12" s="9">
        <f>IF(管理者入力シート!$B$14=1,BK9*管理者用人口入力シート!AM$3,IF(管理者入力シート!$B$14=2,BK9*管理者用人口入力シート!AM$7))</f>
        <v>36.704835569035147</v>
      </c>
      <c r="BM12" s="9">
        <f>IF(管理者入力シート!$B$14=1,BL9*管理者用人口入力シート!AN$3,IF(管理者入力シート!$B$14=2,BL9*管理者用人口入力シート!AN$7))</f>
        <v>42.92542872192228</v>
      </c>
      <c r="BN12" s="9">
        <f>IF(管理者入力シート!$B$14=1,BM9*管理者用人口入力シート!AO$3,IF(管理者入力シート!$B$14=2,BM9*管理者用人口入力シート!AO$7))</f>
        <v>41.731418351633742</v>
      </c>
      <c r="BO12" s="9">
        <f>IF(管理者入力シート!$B$14=1,BN9*管理者用人口入力シート!AP$3,IF(管理者入力シート!$B$14=2,BN9*管理者用人口入力シート!AP$7))</f>
        <v>27.382248266017925</v>
      </c>
      <c r="BP12" s="9">
        <f>IF(管理者入力シート!$B$14=1,BO9*管理者用人口入力シート!AQ$3,IF(管理者入力シート!$B$14=2,BO9*管理者用人口入力シート!AQ$7))</f>
        <v>21.487304589783154</v>
      </c>
      <c r="BQ12" s="9">
        <f>IF(管理者入力シート!$B$14=1,BP9*管理者用人口入力シート!AR$3,IF(管理者入力シート!$B$14=2,BP9*管理者用人口入力シート!AR$7))</f>
        <v>25.707595684091029</v>
      </c>
      <c r="BR12" s="9">
        <f>IF(管理者入力シート!$B$14=1,BQ9*管理者用人口入力シート!AS$3,IF(管理者入力シート!$B$14=2,BQ9*管理者用人口入力シート!AS$7))</f>
        <v>27.473505909649006</v>
      </c>
      <c r="BS12" s="9">
        <f>IF(管理者入力シート!$B$14=1,BR9*管理者用人口入力シート!AT$3,IF(管理者入力シート!$B$14=2,BR9*管理者用人口入力シート!AT$7))</f>
        <v>31.405685093862139</v>
      </c>
      <c r="BT12" s="9">
        <f>IF(管理者入力シート!$B$14=1,BS9*管理者用人口入力シート!AU$3,IF(管理者入力シート!$B$14=2,BS9*管理者用人口入力シート!AU$7))</f>
        <v>43.533238626362547</v>
      </c>
      <c r="BU12" s="9">
        <f>IF(管理者入力シート!$B$14=1,BT9*管理者用人口入力シート!AV$3,IF(管理者入力シート!$B$14=2,BT9*管理者用人口入力シート!AV$7))</f>
        <v>47.544624625342628</v>
      </c>
      <c r="BV12" s="9">
        <f>IF(管理者入力シート!$B$14=1,BU9*管理者用人口入力シート!AW$3,IF(管理者入力シート!$B$14=2,BU9*管理者用人口入力シート!AW$7))</f>
        <v>96.438117585740301</v>
      </c>
      <c r="BW12" s="9">
        <f>IF(管理者入力シート!$B$14=1,BV9*管理者用人口入力シート!AX$3,IF(管理者入力シート!$B$14=2,BV9*管理者用人口入力シート!AX$7))</f>
        <v>82.441779646833055</v>
      </c>
      <c r="BX12" s="9">
        <f>IF(管理者入力シート!$B$14=1,BW9*管理者用人口入力シート!AY$3,IF(管理者入力シート!$B$14=2,BW9*管理者用人口入力シート!AY$7))</f>
        <v>94.091404491120059</v>
      </c>
      <c r="BY12" s="9">
        <f>IF(管理者入力シート!$B$14=1,BX9*管理者用人口入力シート!AZ$3,IF(管理者入力シート!$B$14=2,BX9*管理者用人口入力シート!AZ$7))</f>
        <v>81.687071574179271</v>
      </c>
      <c r="BZ12" s="9">
        <f>IF(管理者入力シート!$B$14=1,BY9*管理者用人口入力シート!BA$3,IF(管理者入力シート!$B$14=2,BY9*管理者用人口入力シート!BA$7))</f>
        <v>96.775849391487128</v>
      </c>
      <c r="CA12" s="9">
        <f>IF(管理者入力シート!$B$14=1,BZ9*管理者用人口入力シート!BB$3,IF(管理者入力シート!$B$14=2,BZ9*管理者用人口入力シート!BB$7))</f>
        <v>91.01433714444893</v>
      </c>
      <c r="CB12" s="9">
        <f>IF(管理者入力シート!$B$14=1,CA9*管理者用人口入力シート!BC$3,IF(管理者入力シート!$B$14=2,CA9*管理者用人口入力シート!BC$7))</f>
        <v>64.803380988239752</v>
      </c>
      <c r="CC12" s="9">
        <f>IF(管理者入力シート!$B$14=1,CB9*管理者用人口入力シート!BD$3,IF(管理者入力シート!$B$14=2,CB9*管理者用人口入力シート!BD$7))</f>
        <v>26.847664277216889</v>
      </c>
      <c r="CD12" s="9">
        <f>IF(管理者入力シート!$B$14=1,CC9*管理者用人口入力シート!BE$3,IF(管理者入力シート!$B$14=2,CC9*管理者用人口入力シート!BE$7))</f>
        <v>2.7124570551651912</v>
      </c>
      <c r="CE12" s="9">
        <f>IF(管理者入力シート!$B$14=1,CD9*管理者用人口入力シート!BF$3,IF(管理者入力シート!$B$14=2,CD9*管理者用人口入力シート!BF$7))</f>
        <v>5.2607626934150775E-2</v>
      </c>
      <c r="CF12" s="9">
        <f t="shared" si="2"/>
        <v>1008.9154661179664</v>
      </c>
      <c r="CG12" s="9">
        <f t="shared" si="20"/>
        <v>47.778158574574455</v>
      </c>
      <c r="CH12" s="9">
        <f t="shared" si="21"/>
        <v>25.51645515909566</v>
      </c>
      <c r="CI12" s="9">
        <f t="shared" si="3"/>
        <v>457.98477254879145</v>
      </c>
      <c r="CJ12" s="9">
        <f t="shared" si="22"/>
        <v>282.20629648349205</v>
      </c>
      <c r="CK12" s="13">
        <f t="shared" si="23"/>
        <v>0.45393770630853036</v>
      </c>
      <c r="CL12" s="13">
        <f t="shared" si="24"/>
        <v>0.2797125289092311</v>
      </c>
      <c r="CM12" s="9">
        <f t="shared" si="25"/>
        <v>102.05065444954111</v>
      </c>
      <c r="CO12" s="7" t="str">
        <f t="shared" si="26"/>
        <v>2040_1</v>
      </c>
      <c r="CP12" s="28">
        <f>管理者入力シート!B11</f>
        <v>2040</v>
      </c>
      <c r="CQ12" s="3" t="s">
        <v>21</v>
      </c>
      <c r="CR12" s="9">
        <f>DT13*$AK$13+将来予測シート②!$G17</f>
        <v>28.697637969201036</v>
      </c>
      <c r="CS12" s="9">
        <f>IF(管理者入力シート!$B$14=1,CR9*管理者用人口入力シート!AM$3,IF(管理者入力シート!$B$14=2,CR9*管理者用人口入力シート!AM$7))+将来予測シート②!$G18</f>
        <v>39.533668114829887</v>
      </c>
      <c r="CT12" s="9">
        <f>IF(管理者入力シート!$B$14=1,CS9*管理者用人口入力シート!AN$3,IF(管理者入力シート!$B$14=2,CS9*管理者用人口入力シート!AN$7))+将来予測シート②!$G19</f>
        <v>46.123078364343648</v>
      </c>
      <c r="CU12" s="9">
        <f>IF(管理者入力シート!$B$14=1,CT9*管理者用人口入力シート!AO$3,IF(管理者入力シート!$B$14=2,CT9*管理者用人口入力シート!AO$7))+将来予測シート②!$G20</f>
        <v>43.406174352091469</v>
      </c>
      <c r="CV12" s="9">
        <f>IF(管理者入力シート!$B$14=1,CU9*管理者用人口入力シート!AP$3,IF(管理者入力シート!$B$14=2,CU9*管理者用人口入力シート!AP$7))+将来予測シート②!$G21</f>
        <v>27.782930332555313</v>
      </c>
      <c r="CW12" s="9">
        <f>IF(管理者入力シート!$B$14=1,CV9*管理者用人口入力シート!AQ$3,IF(管理者入力シート!$B$14=2,CV9*管理者用人口入力シート!AQ$7))+将来予測シート②!$G22</f>
        <v>23.817393438990123</v>
      </c>
      <c r="CX12" s="9">
        <f>IF(管理者入力シート!$B$14=1,CW9*管理者用人口入力シート!AR$3,IF(管理者入力シート!$B$14=2,CW9*管理者用人口入力シート!AR$7))+将来予測シート②!$G23</f>
        <v>27.48276715562012</v>
      </c>
      <c r="CY12" s="9">
        <f>IF(管理者入力シート!$B$14=1,CX9*管理者用人口入力シート!AS$3,IF(管理者入力シート!$B$14=2,CX9*管理者用人口入力シート!AS$7))+将来予測シート②!$G24</f>
        <v>29.06503427928843</v>
      </c>
      <c r="CZ12" s="9">
        <f>IF(管理者入力シート!$B$14=1,CY9*管理者用人口入力シート!AT$3,IF(管理者入力シート!$B$14=2,CY9*管理者用人口入力シート!AT$7))+将来予測シート②!$G25</f>
        <v>33.11792433243572</v>
      </c>
      <c r="DA12" s="9">
        <f>IF(管理者入力シート!$B$14=1,CZ9*管理者用人口入力シート!AU$3,IF(管理者入力シート!$B$14=2,CZ9*管理者用人口入力シート!AU$7))+将来予測シート②!$G26</f>
        <v>43.533238626362547</v>
      </c>
      <c r="DB12" s="9">
        <f>IF(管理者入力シート!$B$14=1,DA9*管理者用人口入力シート!AV$3,IF(管理者入力シート!$B$14=2,DA9*管理者用人口入力シート!AV$7))+将来予測シート②!$G27</f>
        <v>47.544624625342628</v>
      </c>
      <c r="DC12" s="9">
        <f>IF(管理者入力シート!$B$14=1,DB9*管理者用人口入力シート!AW$3,IF(管理者入力シート!$B$14=2,DB9*管理者用人口入力シート!AW$7))+将来予測シート②!$G28</f>
        <v>96.438117585740301</v>
      </c>
      <c r="DD12" s="9">
        <f>IF(管理者入力シート!$B$14=1,DC9*管理者用人口入力シート!AX$3,IF(管理者入力シート!$B$14=2,DC9*管理者用人口入力シート!AX$7))+将来予測シート②!$G29</f>
        <v>82.441779646833055</v>
      </c>
      <c r="DE12" s="9">
        <f>IF(管理者入力シート!$B$14=1,DD9*管理者用人口入力シート!AY$3,IF(管理者入力シート!$B$14=2,DD9*管理者用人口入力シート!AY$7))</f>
        <v>94.091404491120059</v>
      </c>
      <c r="DF12" s="9">
        <f>IF(管理者入力シート!$B$14=1,DE9*管理者用人口入力シート!AZ$3,IF(管理者入力シート!$B$14=2,DE9*管理者用人口入力シート!AZ$7))</f>
        <v>81.687071574179271</v>
      </c>
      <c r="DG12" s="9">
        <f>IF(管理者入力シート!$B$14=1,DF9*管理者用人口入力シート!BA$3,IF(管理者入力シート!$B$14=2,DF9*管理者用人口入力シート!BA$7))</f>
        <v>96.775849391487128</v>
      </c>
      <c r="DH12" s="9">
        <f>IF(管理者入力シート!$B$14=1,DG9*管理者用人口入力シート!BB$3,IF(管理者入力シート!$B$14=2,DG9*管理者用人口入力シート!BB$7))</f>
        <v>91.01433714444893</v>
      </c>
      <c r="DI12" s="9">
        <f>IF(管理者入力シート!$B$14=1,DH9*管理者用人口入力シート!BC$3,IF(管理者入力シート!$B$14=2,DH9*管理者用人口入力シート!BC$7))</f>
        <v>64.803380988239752</v>
      </c>
      <c r="DJ12" s="9">
        <f>IF(管理者入力シート!$B$14=1,DI9*管理者用人口入力シート!BD$3,IF(管理者入力シート!$B$14=2,DI9*管理者用人口入力シート!BD$7))</f>
        <v>26.847664277216889</v>
      </c>
      <c r="DK12" s="9">
        <f>IF(管理者入力シート!$B$14=1,DJ9*管理者用人口入力シート!BE$3,IF(管理者入力シート!$B$14=2,DJ9*管理者用人口入力シート!BE$7))</f>
        <v>2.7124570551651912</v>
      </c>
      <c r="DL12" s="9">
        <f>IF(管理者入力シート!$B$14=1,DK9*管理者用人口入力シート!BF$3,IF(管理者入力シート!$B$14=2,DK9*管理者用人口入力シート!BF$7))</f>
        <v>5.2607626934150775E-2</v>
      </c>
      <c r="DM12" s="9">
        <f t="shared" si="68"/>
        <v>1026.9691413724258</v>
      </c>
      <c r="DN12" s="9">
        <f t="shared" si="34"/>
        <v>51.394047887504122</v>
      </c>
      <c r="DO12" s="9">
        <f t="shared" si="35"/>
        <v>27.130466216155753</v>
      </c>
      <c r="DP12" s="9">
        <f t="shared" si="6"/>
        <v>457.98477254879145</v>
      </c>
      <c r="DQ12" s="9">
        <f t="shared" si="36"/>
        <v>282.20629648349205</v>
      </c>
      <c r="DR12" s="13">
        <f t="shared" si="37"/>
        <v>0.44595767691397975</v>
      </c>
      <c r="DS12" s="13">
        <f t="shared" si="38"/>
        <v>0.27479530310555961</v>
      </c>
      <c r="DT12" s="9">
        <f t="shared" si="69"/>
        <v>108.14812520645398</v>
      </c>
      <c r="DV12" s="211"/>
      <c r="DX12" s="28">
        <f>管理者入力シート!B11</f>
        <v>2040</v>
      </c>
      <c r="DY12" s="3" t="s">
        <v>21</v>
      </c>
      <c r="DZ12" s="9">
        <f>FB13*$AK$13</f>
        <v>96.911938273169881</v>
      </c>
      <c r="EA12" s="129">
        <f>IF(管理者入力シート!$B$14=1,DZ9*管理者用人口入力シート!AM$3,IF(管理者入力シート!$B$14=2,DZ9*管理者用人口入力シート!AM$7))</f>
        <v>118.66663846887499</v>
      </c>
      <c r="EB12" s="9">
        <f>IF(管理者入力シート!$B$14=1,EA9*管理者用人口入力シート!AN$3,IF(管理者入力シート!$B$14=2,EA9*管理者用人口入力シート!AN$7))</f>
        <v>112.24323993987012</v>
      </c>
      <c r="EC12" s="9">
        <f>IF(管理者入力シート!$B$14=1,EB9*管理者用人口入力シート!AO$3,IF(管理者入力シート!$B$14=2,EB9*管理者用人口入力シート!AO$7))</f>
        <v>41.731418351633742</v>
      </c>
      <c r="ED12" s="9">
        <f>IF(管理者入力シート!$B$14=1,EC9*管理者用人口入力シート!AP$3,IF(管理者入力シート!$B$14=2,EC9*管理者用人口入力シート!AP$7))</f>
        <v>27.382248266017925</v>
      </c>
      <c r="EE12" s="9">
        <f>IF(管理者入力シート!$B$14=1,ED9*管理者用人口入力シート!AQ$3,IF(管理者入力シート!$B$14=2,ED9*管理者用人口入力シート!AQ$7))+DX1</f>
        <v>71.48730458978315</v>
      </c>
      <c r="EF12" s="9">
        <f>IF(管理者入力シート!$B$14=1,EE9*管理者用人口入力シート!AR$3,IF(管理者入力シート!$B$14=2,EE9*管理者用人口入力シート!AR$7))+DX1</f>
        <v>120.08688247231838</v>
      </c>
      <c r="EG12" s="9">
        <f>IF(管理者入力シート!$B$14=1,EF9*管理者用人口入力シート!AS$3,IF(管理者入力シート!$B$14=2,EF9*管理者用人口入力シート!AS$7))+DX1</f>
        <v>162.08916971389749</v>
      </c>
      <c r="EH12" s="9">
        <f>IF(管理者入力シート!$B$14=1,EG9*管理者用人口入力シート!AT$3,IF(管理者入力シート!$B$14=2,EG9*管理者用人口入力シート!AT$7))</f>
        <v>176.23139231294488</v>
      </c>
      <c r="EI12" s="9">
        <f>IF(管理者入力シート!$B$14=1,EH9*管理者用人口入力シート!AU$3,IF(管理者入力シート!$B$14=2,EH9*管理者用人口入力シート!AU$7))</f>
        <v>144.34981365499297</v>
      </c>
      <c r="EJ12" s="9">
        <f>IF(管理者入力シート!$B$14=1,EI9*管理者用人口入力シート!AV$3,IF(管理者入力シート!$B$14=2,EI9*管理者用人口入力シート!AV$7))</f>
        <v>97.107993880721253</v>
      </c>
      <c r="EK12" s="9">
        <f>IF(管理者入力シート!$B$14=1,EJ9*管理者用人口入力シート!AW$3,IF(管理者入力シート!$B$14=2,EJ9*管理者用人口入力シート!AW$7))</f>
        <v>96.438117585740301</v>
      </c>
      <c r="EL12" s="9">
        <f>IF(管理者入力シート!$B$14=1,EK9*管理者用人口入力シート!AX$3,IF(管理者入力シート!$B$14=2,EK9*管理者用人口入力シート!AX$7))</f>
        <v>82.441779646833055</v>
      </c>
      <c r="EM12" s="9">
        <f>IF(管理者入力シート!$B$14=1,EL9*管理者用人口入力シート!AY$3,IF(管理者入力シート!$B$14=2,EL9*管理者用人口入力シート!AY$7))</f>
        <v>94.091404491120059</v>
      </c>
      <c r="EN12" s="9">
        <f>IF(管理者入力シート!$B$14=1,EM9*管理者用人口入力シート!AZ$3,IF(管理者入力シート!$B$14=2,EM9*管理者用人口入力シート!AZ$7))</f>
        <v>81.687071574179271</v>
      </c>
      <c r="EO12" s="9">
        <f>IF(管理者入力シート!$B$14=1,EN9*管理者用人口入力シート!BA$3,IF(管理者入力シート!$B$14=2,EN9*管理者用人口入力シート!BA$7))</f>
        <v>96.775849391487128</v>
      </c>
      <c r="EP12" s="9">
        <f>IF(管理者入力シート!$B$14=1,EO9*管理者用人口入力シート!BB$3,IF(管理者入力シート!$B$14=2,EO9*管理者用人口入力シート!BB$7))</f>
        <v>91.01433714444893</v>
      </c>
      <c r="EQ12" s="9">
        <f>IF(管理者入力シート!$B$14=1,EP9*管理者用人口入力シート!BC$3,IF(管理者入力シート!$B$14=2,EP9*管理者用人口入力シート!BC$7))</f>
        <v>64.803380988239752</v>
      </c>
      <c r="ER12" s="9">
        <f>IF(管理者入力シート!$B$14=1,EQ9*管理者用人口入力シート!BD$3,IF(管理者入力シート!$B$14=2,EQ9*管理者用人口入力シート!BD$7))</f>
        <v>26.847664277216889</v>
      </c>
      <c r="ES12" s="9">
        <f>IF(管理者入力シート!$B$14=1,ER9*管理者用人口入力シート!BE$3,IF(管理者入力シート!$B$14=2,ER9*管理者用人口入力シート!BE$7))</f>
        <v>2.7124570551651912</v>
      </c>
      <c r="ET12" s="9">
        <f>IF(管理者入力シート!$B$14=1,ES9*管理者用人口入力シート!BF$3,IF(管理者入力シート!$B$14=2,ES9*管理者用人口入力シート!BF$7))</f>
        <v>5.2607626934150775E-2</v>
      </c>
      <c r="EU12" s="9">
        <f t="shared" si="70"/>
        <v>1805.1527097055896</v>
      </c>
      <c r="EV12" s="9">
        <f t="shared" si="41"/>
        <v>138.54592704524705</v>
      </c>
      <c r="EW12" s="9">
        <f t="shared" si="42"/>
        <v>53.243579646274796</v>
      </c>
      <c r="EX12" s="9">
        <f t="shared" si="10"/>
        <v>457.98477254879145</v>
      </c>
      <c r="EY12" s="9">
        <f t="shared" si="43"/>
        <v>282.20629648349205</v>
      </c>
      <c r="EZ12" s="13">
        <f t="shared" si="44"/>
        <v>0.25370971114321195</v>
      </c>
      <c r="FA12" s="13">
        <f t="shared" si="45"/>
        <v>0.15633375224499335</v>
      </c>
      <c r="FB12" s="9">
        <f t="shared" si="71"/>
        <v>381.04560504201697</v>
      </c>
    </row>
    <row r="13" spans="1:158" x14ac:dyDescent="0.15">
      <c r="A13" s="7" t="str">
        <f t="shared" si="11"/>
        <v>2020_2</v>
      </c>
      <c r="B13" s="29">
        <v>2020</v>
      </c>
      <c r="C13" s="4" t="s">
        <v>22</v>
      </c>
      <c r="D13" s="10">
        <v>52.16041484444942</v>
      </c>
      <c r="E13" s="10">
        <v>64.59588734015172</v>
      </c>
      <c r="F13" s="10">
        <v>75.845235396678589</v>
      </c>
      <c r="G13" s="10">
        <v>83.696166280179625</v>
      </c>
      <c r="H13" s="10">
        <v>48.872673981923604</v>
      </c>
      <c r="I13" s="10">
        <v>49.959691106421346</v>
      </c>
      <c r="J13" s="10">
        <v>57.821297785535407</v>
      </c>
      <c r="K13" s="10">
        <v>79.191693135076093</v>
      </c>
      <c r="L13" s="10">
        <v>93.931808238063155</v>
      </c>
      <c r="M13" s="10">
        <v>106.64593068720036</v>
      </c>
      <c r="N13" s="10">
        <v>111.6304743589496</v>
      </c>
      <c r="O13" s="10">
        <v>133.71457426247267</v>
      </c>
      <c r="P13" s="10">
        <v>165.34498831528333</v>
      </c>
      <c r="Q13" s="10">
        <v>196.49230668728791</v>
      </c>
      <c r="R13" s="10">
        <v>205.48897157115834</v>
      </c>
      <c r="S13" s="10">
        <v>165.58627298407262</v>
      </c>
      <c r="T13" s="10">
        <v>122.49583404934805</v>
      </c>
      <c r="U13" s="10">
        <v>123.9294742553286</v>
      </c>
      <c r="V13" s="10">
        <v>80.723021112297488</v>
      </c>
      <c r="W13" s="10">
        <v>26.867223002061479</v>
      </c>
      <c r="X13" s="10">
        <v>2.0060606060606059</v>
      </c>
      <c r="Y13" s="10">
        <f t="shared" si="176"/>
        <v>2047</v>
      </c>
      <c r="Z13" s="10">
        <f t="shared" ref="Z13:Z14" si="178">E13*3/5+F13*3/5</f>
        <v>84.264673642098188</v>
      </c>
      <c r="AA13" s="10">
        <f t="shared" ref="AA13:AA14" si="179">F13*2/5+G13*1/5</f>
        <v>47.077327414707355</v>
      </c>
      <c r="AB13" s="10">
        <f t="shared" si="177"/>
        <v>923.58916426761516</v>
      </c>
      <c r="AC13" s="10">
        <f t="shared" ref="AC13:AC14" si="180">SUM(S13:X13)</f>
        <v>521.60788600916885</v>
      </c>
      <c r="AD13" s="14">
        <f t="shared" ref="AD13:AD14" si="181">AB13/Y13</f>
        <v>0.45119158000372017</v>
      </c>
      <c r="AE13" s="14">
        <f t="shared" ref="AE13:AE14" si="182">AC13/Y13</f>
        <v>0.25481577235425934</v>
      </c>
      <c r="AF13" s="10">
        <f t="shared" ref="AF13:AF14" si="183">SUM(H13:K13)</f>
        <v>235.84535600895646</v>
      </c>
      <c r="AI13" s="60" t="s">
        <v>47</v>
      </c>
      <c r="AJ13" s="1" t="s">
        <v>21</v>
      </c>
      <c r="AK13" s="8">
        <f>VLOOKUP(AK12&amp;"_1",A:D,4,FALSE)/VLOOKUP(AK12&amp;"_2",A:AF,32,FALSE)</f>
        <v>0.25380834205511316</v>
      </c>
      <c r="AL13" s="63"/>
      <c r="BH13" s="7" t="str">
        <f t="shared" si="19"/>
        <v>2040_2</v>
      </c>
      <c r="BI13" s="29">
        <f>BI12</f>
        <v>2040</v>
      </c>
      <c r="BJ13" s="4" t="s">
        <v>22</v>
      </c>
      <c r="BK13" s="10">
        <f>CM13*$AK$14</f>
        <v>22.790878214235537</v>
      </c>
      <c r="BL13" s="10">
        <f>IF(管理者入力シート!$B$14=1,BK10*管理者用人口入力シート!AM$4,IF(管理者入力シート!$B$14=2,BK10*管理者用人口入力シート!AM$8))</f>
        <v>26.180869185432702</v>
      </c>
      <c r="BM13" s="10">
        <f>IF(管理者入力シート!$B$14=1,BL10*管理者用人口入力シート!AN$4,IF(管理者入力シート!$B$14=2,BL10*管理者用人口入力シート!AN$8))</f>
        <v>30.598940825776793</v>
      </c>
      <c r="BN13" s="10">
        <f>IF(管理者入力シート!$B$14=1,BM10*管理者用人口入力シート!AO$4,IF(管理者入力シート!$B$14=2,BM10*管理者用人口入力シート!AO$8))</f>
        <v>32.284699771414338</v>
      </c>
      <c r="BO13" s="10">
        <f>IF(管理者入力シート!$B$14=1,BN10*管理者用人口入力シート!AP$4,IF(管理者入力シート!$B$14=2,BN10*管理者用人口入力シート!AP$8))</f>
        <v>22.175823457083549</v>
      </c>
      <c r="BP13" s="10">
        <f>IF(管理者入力シート!$B$14=1,BO10*管理者用人口入力シート!AQ$4,IF(管理者入力シート!$B$14=2,BO10*管理者用人口入力シート!AQ$8))</f>
        <v>25.222805245861267</v>
      </c>
      <c r="BQ13" s="10">
        <f>IF(管理者入力シート!$B$14=1,BP10*管理者用人口入力シート!AR$4,IF(管理者入力シート!$B$14=2,BP10*管理者用人口入力シート!AR$8))</f>
        <v>24.720253411515824</v>
      </c>
      <c r="BR13" s="10">
        <f>IF(管理者入力シート!$B$14=1,BQ10*管理者用人口入力シート!AS$4,IF(管理者入力シート!$B$14=2,BQ10*管理者用人口入力シート!AS$8))</f>
        <v>30.93096521176583</v>
      </c>
      <c r="BS13" s="10">
        <f>IF(管理者入力シート!$B$14=1,BR10*管理者用人口入力シート!AT$4,IF(管理者入力シート!$B$14=2,BR10*管理者用人口入力シート!AT$8))</f>
        <v>33.885632741881793</v>
      </c>
      <c r="BT13" s="10">
        <f>IF(管理者入力シート!$B$14=1,BS10*管理者用人口入力シート!AU$4,IF(管理者入力シート!$B$14=2,BS10*管理者用人口入力シート!AU$8))</f>
        <v>38.670859010085842</v>
      </c>
      <c r="BU13" s="10">
        <f>IF(管理者入力シート!$B$14=1,BT10*管理者用人口入力シート!AV$4,IF(管理者入力シート!$B$14=2,BT10*管理者用人口入力シート!AV$8))</f>
        <v>51.724731409279876</v>
      </c>
      <c r="BV13" s="10">
        <f>IF(管理者入力シート!$B$14=1,BU10*管理者用人口入力シート!AW$4,IF(管理者入力シート!$B$14=2,BU10*管理者用人口入力シート!AW$8))</f>
        <v>70.855585996511067</v>
      </c>
      <c r="BW13" s="10">
        <f>IF(管理者入力シート!$B$14=1,BV10*管理者用人口入力シート!AX$4,IF(管理者入力シート!$B$14=2,BV10*管理者用人口入力シート!AX$8))</f>
        <v>83.45293189082679</v>
      </c>
      <c r="BX13" s="10">
        <f>IF(管理者入力シート!$B$14=1,BW10*管理者用人口入力シート!AY$4,IF(管理者入力シート!$B$14=2,BW10*管理者用人口入力シート!AY$8))</f>
        <v>96.912635544030522</v>
      </c>
      <c r="BY13" s="10">
        <f>IF(管理者入力シート!$B$14=1,BX10*管理者用人口入力シート!AZ$4,IF(管理者入力シート!$B$14=2,BX10*管理者用人口入力シート!AZ$8))</f>
        <v>101.55978646734633</v>
      </c>
      <c r="BZ13" s="10">
        <f>IF(管理者入力シート!$B$14=1,BY10*管理者用人口入力シート!BA$4,IF(管理者入力シート!$B$14=2,BY10*管理者用人口入力シート!BA$8))</f>
        <v>117.10205861821383</v>
      </c>
      <c r="CA13" s="10">
        <f>IF(管理者入力シート!$B$14=1,BZ10*管理者用人口入力シート!BB$4,IF(管理者入力シート!$B$14=2,BZ10*管理者用人口入力シート!BB$8))</f>
        <v>113.75362021086072</v>
      </c>
      <c r="CB13" s="10">
        <f>IF(管理者入力シート!$B$14=1,CA10*管理者用人口入力シート!BC$4,IF(管理者入力シート!$B$14=2,CA10*管理者用人口入力シート!BC$8))</f>
        <v>105.6683314337379</v>
      </c>
      <c r="CC13" s="10">
        <f>IF(管理者入力シート!$B$14=1,CB10*管理者用人口入力シート!BD$4,IF(管理者入力シート!$B$14=2,CB10*管理者用人口入力シート!BD$8))</f>
        <v>62.897063310081741</v>
      </c>
      <c r="CD13" s="10">
        <f>IF(管理者入力シート!$B$14=1,CC10*管理者用人口入力シート!BE$4,IF(管理者入力シート!$B$14=2,CC10*管理者用人口入力シート!BE$8))</f>
        <v>19.238306027982471</v>
      </c>
      <c r="CE13" s="10">
        <f>IF(管理者入力シート!$B$14=1,CD10*管理者用人口入力シート!BF$4,IF(管理者入力シート!$B$14=2,CD10*管理者用人口入力シート!BF$8))</f>
        <v>1.9922421856734676</v>
      </c>
      <c r="CF13" s="10">
        <f t="shared" si="2"/>
        <v>1112.6190201695979</v>
      </c>
      <c r="CG13" s="10">
        <f t="shared" si="20"/>
        <v>34.067886006725701</v>
      </c>
      <c r="CH13" s="10">
        <f t="shared" si="21"/>
        <v>18.696516284593585</v>
      </c>
      <c r="CI13" s="10">
        <f t="shared" si="3"/>
        <v>619.12404379792713</v>
      </c>
      <c r="CJ13" s="10">
        <f t="shared" si="22"/>
        <v>420.65162178655015</v>
      </c>
      <c r="CK13" s="14">
        <f t="shared" si="23"/>
        <v>0.55645646225205936</v>
      </c>
      <c r="CL13" s="14">
        <f t="shared" si="24"/>
        <v>0.37807336937528691</v>
      </c>
      <c r="CM13" s="10">
        <f t="shared" si="25"/>
        <v>103.04984732622648</v>
      </c>
      <c r="CO13" s="7" t="str">
        <f t="shared" si="26"/>
        <v>2040_2</v>
      </c>
      <c r="CP13" s="29">
        <f>CP12</f>
        <v>2040</v>
      </c>
      <c r="CQ13" s="4" t="s">
        <v>22</v>
      </c>
      <c r="CR13" s="10">
        <f>DT13*$AK$14+将来予測シート②!$H17</f>
        <v>25.135180433917881</v>
      </c>
      <c r="CS13" s="10">
        <f>IF(管理者入力シート!$B$14=1,CR10*管理者用人口入力シート!AM$4,IF(管理者入力シート!$B$14=2,CR10*管理者用人口入力シート!AM$8))+将来予測シート②!$H18</f>
        <v>28.320577888506552</v>
      </c>
      <c r="CT13" s="10">
        <f>IF(管理者入力シート!$B$14=1,CS10*管理者用人口入力シート!AN$4,IF(管理者入力シート!$B$14=2,CS10*管理者用人口入力シート!AN$8))+将来予測シート②!$H19</f>
        <v>33.285635476929563</v>
      </c>
      <c r="CU13" s="10">
        <f>IF(管理者入力シート!$B$14=1,CT10*管理者用人口入力シート!AO$4,IF(管理者入力シート!$B$14=2,CT10*管理者用人口入力シート!AO$8))+将来予測シート②!$H20</f>
        <v>33.925995165576786</v>
      </c>
      <c r="CV13" s="10">
        <f>IF(管理者入力シート!$B$14=1,CU10*管理者用人口入力シート!AP$4,IF(管理者入力シート!$B$14=2,CU10*管理者用人口入力シート!AP$8))+将来予測シート②!$H21</f>
        <v>22.631040805157994</v>
      </c>
      <c r="CW13" s="10">
        <f>IF(管理者入力シート!$B$14=1,CV10*管理者用人口入力シート!AQ$4,IF(管理者入力シート!$B$14=2,CV10*管理者用人口入力シート!AQ$8))+将来予測シート②!$H22</f>
        <v>27.619232486848567</v>
      </c>
      <c r="CX13" s="10">
        <f>IF(管理者入力シート!$B$14=1,CW10*管理者用人口入力シート!AR$4,IF(管理者入力シート!$B$14=2,CW10*管理者用人口入力シート!AR$8))+将来予測シート②!$H23</f>
        <v>26.364591515109129</v>
      </c>
      <c r="CY13" s="10">
        <f>IF(管理者入力シート!$B$14=1,CX10*管理者用人口入力シート!AS$4,IF(管理者入力シート!$B$14=2,CX10*管理者用人口入力シート!AS$8))+将来予測シート②!$H24</f>
        <v>32.513297588691771</v>
      </c>
      <c r="CZ13" s="10">
        <f>IF(管理者入力シート!$B$14=1,CY10*管理者用人口入力シート!AT$4,IF(管理者入力シート!$B$14=2,CY10*管理者用人口入力シート!AT$8))+将来予測シート②!$H25</f>
        <v>36.477969088480911</v>
      </c>
      <c r="DA13" s="10">
        <f>IF(管理者入力シート!$B$14=1,CZ10*管理者用人口入力シート!AU$4,IF(管理者入力シート!$B$14=2,CZ10*管理者用人口入力シート!AU$8))+将来予測シート②!$H26</f>
        <v>39.643067170425908</v>
      </c>
      <c r="DB13" s="10">
        <f>IF(管理者入力シート!$B$14=1,DA10*管理者用人口入力シート!AV$4,IF(管理者入力シート!$B$14=2,DA10*管理者用人口入力シート!AV$8))+将来予測シート②!$H27</f>
        <v>52.648507507965839</v>
      </c>
      <c r="DC13" s="10">
        <f>IF(管理者入力シート!$B$14=1,DB10*管理者用人口入力シート!AW$4,IF(管理者入力シート!$B$14=2,DB10*管理者用人口入力シート!AW$8))+将来予測シート②!$H28</f>
        <v>71.74469983917156</v>
      </c>
      <c r="DD13" s="10">
        <f>IF(管理者入力シート!$B$14=1,DC10*管理者用人口入力シート!AX$4,IF(管理者入力シート!$B$14=2,DC10*管理者用人口入力シート!AX$8))+将来予測シート②!$H29</f>
        <v>83.45293189082679</v>
      </c>
      <c r="DE13" s="10">
        <f>IF(管理者入力シート!$B$14=1,DD10*管理者用人口入力シート!AY$4,IF(管理者入力シート!$B$14=2,DD10*管理者用人口入力シート!AY$8))</f>
        <v>96.912635544030522</v>
      </c>
      <c r="DF13" s="10">
        <f>IF(管理者入力シート!$B$14=1,DE10*管理者用人口入力シート!AZ$4,IF(管理者入力シート!$B$14=2,DE10*管理者用人口入力シート!AZ$8))</f>
        <v>101.55978646734633</v>
      </c>
      <c r="DG13" s="10">
        <f>IF(管理者入力シート!$B$14=1,DF10*管理者用人口入力シート!BA$4,IF(管理者入力シート!$B$14=2,DF10*管理者用人口入力シート!BA$8))</f>
        <v>117.10205861821383</v>
      </c>
      <c r="DH13" s="10">
        <f>IF(管理者入力シート!$B$14=1,DG10*管理者用人口入力シート!BB$4,IF(管理者入力シート!$B$14=2,DG10*管理者用人口入力シート!BB$8))</f>
        <v>113.75362021086072</v>
      </c>
      <c r="DI13" s="10">
        <f>IF(管理者入力シート!$B$14=1,DH10*管理者用人口入力シート!BC$4,IF(管理者入力シート!$B$14=2,DH10*管理者用人口入力シート!BC$8))</f>
        <v>105.6683314337379</v>
      </c>
      <c r="DJ13" s="10">
        <f>IF(管理者入力シート!$B$14=1,DI10*管理者用人口入力シート!BD$4,IF(管理者入力シート!$B$14=2,DI10*管理者用人口入力シート!BD$8))</f>
        <v>62.897063310081741</v>
      </c>
      <c r="DK13" s="10">
        <f>IF(管理者入力シート!$B$14=1,DJ10*管理者用人口入力シート!BE$4,IF(管理者入力シート!$B$14=2,DJ10*管理者用人口入力シート!BE$8))</f>
        <v>19.238306027982471</v>
      </c>
      <c r="DL13" s="10">
        <f>IF(管理者入力シート!$B$14=1,DK10*管理者用人口入力シート!BF$4,IF(管理者入力シート!$B$14=2,DK10*管理者用人口入力シート!BF$8))</f>
        <v>1.9922421856734676</v>
      </c>
      <c r="DM13" s="10">
        <f t="shared" si="68"/>
        <v>1132.8867706555361</v>
      </c>
      <c r="DN13" s="10">
        <f t="shared" si="34"/>
        <v>36.963728019261666</v>
      </c>
      <c r="DO13" s="10">
        <f t="shared" si="35"/>
        <v>20.099453223887181</v>
      </c>
      <c r="DP13" s="10">
        <f t="shared" si="6"/>
        <v>619.12404379792713</v>
      </c>
      <c r="DQ13" s="10">
        <f t="shared" si="36"/>
        <v>420.65162178655015</v>
      </c>
      <c r="DR13" s="14">
        <f t="shared" si="37"/>
        <v>0.54650125664339411</v>
      </c>
      <c r="DS13" s="14">
        <f t="shared" si="38"/>
        <v>0.37130950125151818</v>
      </c>
      <c r="DT13" s="10">
        <f t="shared" si="69"/>
        <v>109.12816239580746</v>
      </c>
      <c r="DV13" s="62"/>
      <c r="DX13" s="29">
        <f>DX12</f>
        <v>2040</v>
      </c>
      <c r="DY13" s="4" t="s">
        <v>22</v>
      </c>
      <c r="DZ13" s="10">
        <f>FB13*$AK$14</f>
        <v>84.447169069960125</v>
      </c>
      <c r="EA13" s="10">
        <f>IF(管理者入力シート!$B$14=1,DZ10*管理者用人口入力シート!AM$4,IF(管理者入力シート!$B$14=2,DZ10*管理者用人口入力シート!AM$8))</f>
        <v>84.642682367704154</v>
      </c>
      <c r="EB13" s="10">
        <f>IF(管理者入力シート!$B$14=1,EA10*管理者用人口入力シート!AN$4,IF(管理者入力シート!$B$14=2,EA10*管理者用人口入力シート!AN$8))</f>
        <v>80.011414196068827</v>
      </c>
      <c r="EC13" s="10">
        <f>IF(管理者入力シート!$B$14=1,EB10*管理者用人口入力シート!AO$4,IF(管理者入力シート!$B$14=2,EB10*管理者用人口入力シート!AO$8))</f>
        <v>32.284699771414338</v>
      </c>
      <c r="ED13" s="10">
        <f>IF(管理者入力シート!$B$14=1,EC10*管理者用人口入力シート!AP$4,IF(管理者入力シート!$B$14=2,EC10*管理者用人口入力シート!AP$8))</f>
        <v>22.175823457083549</v>
      </c>
      <c r="EE13" s="10">
        <f>IF(管理者入力シート!$B$14=1,ED10*管理者用人口入力シート!AQ$4,IF(管理者入力シート!$B$14=2,ED10*管理者用人口入力シート!AQ$8))+DX1</f>
        <v>75.222805245861267</v>
      </c>
      <c r="EF13" s="10">
        <f>IF(管理者入力シート!$B$14=1,EE10*管理者用人口入力シート!AR$4,IF(管理者入力シート!$B$14=2,EE10*管理者用人口入力シート!AR$8))+DX1</f>
        <v>115.82870600134849</v>
      </c>
      <c r="EG13" s="10">
        <f>IF(管理者入力シート!$B$14=1,EF10*管理者用人口入力シート!AS$4,IF(管理者入力シート!$B$14=2,EF10*管理者用人口入力シート!AS$8))+DX1</f>
        <v>168.60384345345994</v>
      </c>
      <c r="EH13" s="10">
        <f>IF(管理者入力シート!$B$14=1,EG10*管理者用人口入力シート!AT$4,IF(管理者入力シート!$B$14=2,EG10*管理者用人口入力シート!AT$8))</f>
        <v>172.42891932434782</v>
      </c>
      <c r="EI13" s="10">
        <f>IF(管理者入力シート!$B$14=1,EH10*管理者用人口入力シート!AU$4,IF(管理者入力シート!$B$14=2,EH10*管理者用人口入力シート!AU$8))</f>
        <v>134.66171303164813</v>
      </c>
      <c r="EJ13" s="10">
        <f>IF(管理者入力シート!$B$14=1,EI10*管理者用人口入力シート!AV$4,IF(管理者入力シート!$B$14=2,EI10*管理者用人口入力シート!AV$8))</f>
        <v>98.205555523960783</v>
      </c>
      <c r="EK13" s="10">
        <f>IF(管理者入力シート!$B$14=1,EJ10*管理者用人口入力シート!AW$4,IF(管理者入力シート!$B$14=2,EJ10*管理者用人口入力シート!AW$8))</f>
        <v>70.855585996511067</v>
      </c>
      <c r="EL13" s="10">
        <f>IF(管理者入力シート!$B$14=1,EK10*管理者用人口入力シート!AX$4,IF(管理者入力シート!$B$14=2,EK10*管理者用人口入力シート!AX$8))</f>
        <v>83.45293189082679</v>
      </c>
      <c r="EM13" s="10">
        <f>IF(管理者入力シート!$B$14=1,EL10*管理者用人口入力シート!AY$4,IF(管理者入力シート!$B$14=2,EL10*管理者用人口入力シート!AY$8))</f>
        <v>96.912635544030522</v>
      </c>
      <c r="EN13" s="10">
        <f>IF(管理者入力シート!$B$14=1,EM10*管理者用人口入力シート!AZ$4,IF(管理者入力シート!$B$14=2,EM10*管理者用人口入力シート!AZ$8))</f>
        <v>101.55978646734633</v>
      </c>
      <c r="EO13" s="10">
        <f>IF(管理者入力シート!$B$14=1,EN10*管理者用人口入力シート!BA$4,IF(管理者入力シート!$B$14=2,EN10*管理者用人口入力シート!BA$8))</f>
        <v>117.10205861821383</v>
      </c>
      <c r="EP13" s="10">
        <f>IF(管理者入力シート!$B$14=1,EO10*管理者用人口入力シート!BB$4,IF(管理者入力シート!$B$14=2,EO10*管理者用人口入力シート!BB$8))</f>
        <v>113.75362021086072</v>
      </c>
      <c r="EQ13" s="10">
        <f>IF(管理者入力シート!$B$14=1,EP10*管理者用人口入力シート!BC$4,IF(管理者入力シート!$B$14=2,EP10*管理者用人口入力シート!BC$8))</f>
        <v>105.6683314337379</v>
      </c>
      <c r="ER13" s="10">
        <f>IF(管理者入力シート!$B$14=1,EQ10*管理者用人口入力シート!BD$4,IF(管理者入力シート!$B$14=2,EQ10*管理者用人口入力シート!BD$8))</f>
        <v>62.897063310081741</v>
      </c>
      <c r="ES13" s="10">
        <f>IF(管理者入力シート!$B$14=1,ER10*管理者用人口入力シート!BE$4,IF(管理者入力シート!$B$14=2,ER10*管理者用人口入力シート!BE$8))</f>
        <v>19.238306027982471</v>
      </c>
      <c r="ET13" s="10">
        <f>IF(管理者入力シート!$B$14=1,ES10*管理者用人口入力シート!BF$4,IF(管理者入力シート!$B$14=2,ES10*管理者用人口入力シート!BF$8))</f>
        <v>1.9922421856734676</v>
      </c>
      <c r="EU13" s="10">
        <f t="shared" si="70"/>
        <v>1841.9458931281217</v>
      </c>
      <c r="EV13" s="10">
        <f t="shared" si="41"/>
        <v>98.792457938263794</v>
      </c>
      <c r="EW13" s="10">
        <f t="shared" si="42"/>
        <v>38.461505632710399</v>
      </c>
      <c r="EX13" s="10">
        <f t="shared" si="10"/>
        <v>619.12404379792713</v>
      </c>
      <c r="EY13" s="10">
        <f t="shared" si="43"/>
        <v>420.65162178655015</v>
      </c>
      <c r="EZ13" s="14">
        <f t="shared" si="44"/>
        <v>0.33612498939721147</v>
      </c>
      <c r="FA13" s="14">
        <f t="shared" si="45"/>
        <v>0.22837349531053275</v>
      </c>
      <c r="FB13" s="10">
        <f t="shared" si="71"/>
        <v>381.83117815775324</v>
      </c>
    </row>
    <row r="14" spans="1:158" x14ac:dyDescent="0.15">
      <c r="A14" s="7" t="str">
        <f t="shared" si="11"/>
        <v>2020_3</v>
      </c>
      <c r="B14" s="30">
        <v>2020</v>
      </c>
      <c r="C14" s="5" t="s">
        <v>23</v>
      </c>
      <c r="D14" s="11">
        <v>112.01993363448057</v>
      </c>
      <c r="E14" s="11">
        <v>130.64348608141847</v>
      </c>
      <c r="F14" s="11">
        <v>163.58981411973227</v>
      </c>
      <c r="G14" s="11">
        <v>165.48618143813673</v>
      </c>
      <c r="H14" s="11">
        <v>93.401666931585552</v>
      </c>
      <c r="I14" s="11">
        <v>101.41601331819825</v>
      </c>
      <c r="J14" s="11">
        <v>111.31917270958624</v>
      </c>
      <c r="K14" s="11">
        <v>176.89204031163075</v>
      </c>
      <c r="L14" s="11">
        <v>186.58475676230779</v>
      </c>
      <c r="M14" s="11">
        <v>214.48690685767565</v>
      </c>
      <c r="N14" s="11">
        <v>205.30419923933118</v>
      </c>
      <c r="O14" s="11">
        <v>264.13992623259026</v>
      </c>
      <c r="P14" s="11">
        <v>320.45622126871149</v>
      </c>
      <c r="Q14" s="11">
        <v>396.3060965051227</v>
      </c>
      <c r="R14" s="11">
        <v>400.29490092654549</v>
      </c>
      <c r="S14" s="11">
        <v>291.50751129746425</v>
      </c>
      <c r="T14" s="11">
        <v>223.05105650254399</v>
      </c>
      <c r="U14" s="11">
        <v>180.86851698448666</v>
      </c>
      <c r="V14" s="11">
        <v>109.43834854819983</v>
      </c>
      <c r="W14" s="11">
        <v>28.880534150148002</v>
      </c>
      <c r="X14" s="11">
        <v>3.0127161801038671</v>
      </c>
      <c r="Y14" s="11">
        <f t="shared" si="176"/>
        <v>3879.0999999999995</v>
      </c>
      <c r="Z14" s="11">
        <f t="shared" si="178"/>
        <v>176.53998012069042</v>
      </c>
      <c r="AA14" s="11">
        <f t="shared" si="179"/>
        <v>98.533161935520241</v>
      </c>
      <c r="AB14" s="11">
        <f t="shared" si="177"/>
        <v>1633.3596810946149</v>
      </c>
      <c r="AC14" s="11">
        <f t="shared" si="180"/>
        <v>836.75868366294662</v>
      </c>
      <c r="AD14" s="15">
        <f t="shared" si="181"/>
        <v>0.42106666007440258</v>
      </c>
      <c r="AE14" s="15">
        <f t="shared" si="182"/>
        <v>0.2157094902588092</v>
      </c>
      <c r="AF14" s="11">
        <f t="shared" si="183"/>
        <v>483.02889327100075</v>
      </c>
      <c r="AI14" s="43"/>
      <c r="AJ14" s="1" t="s">
        <v>22</v>
      </c>
      <c r="AK14" s="8">
        <f>VLOOKUP(AK12&amp;"_2",A:D,4,FALSE)/VLOOKUP(AK12&amp;"_2",A:AF,32,FALSE)</f>
        <v>0.22116362911325918</v>
      </c>
      <c r="AL14" s="63"/>
      <c r="BH14" s="7" t="str">
        <f t="shared" si="19"/>
        <v>2040_3</v>
      </c>
      <c r="BI14" s="30">
        <f>BI13</f>
        <v>2040</v>
      </c>
      <c r="BJ14" s="5" t="s">
        <v>23</v>
      </c>
      <c r="BK14" s="16">
        <f>BK12+BK13</f>
        <v>48.945789113137621</v>
      </c>
      <c r="BL14" s="16">
        <f t="shared" ref="BL14" si="184">BL12+BL13</f>
        <v>62.885704754467852</v>
      </c>
      <c r="BM14" s="16">
        <f t="shared" ref="BM14" si="185">BM12+BM13</f>
        <v>73.524369547699081</v>
      </c>
      <c r="BN14" s="16">
        <f t="shared" ref="BN14" si="186">BN12+BN13</f>
        <v>74.016118123048074</v>
      </c>
      <c r="BO14" s="16">
        <f t="shared" ref="BO14" si="187">BO12+BO13</f>
        <v>49.558071723101477</v>
      </c>
      <c r="BP14" s="16">
        <f t="shared" ref="BP14" si="188">BP12+BP13</f>
        <v>46.710109835644417</v>
      </c>
      <c r="BQ14" s="16">
        <f t="shared" ref="BQ14" si="189">BQ12+BQ13</f>
        <v>50.427849095606852</v>
      </c>
      <c r="BR14" s="16">
        <f t="shared" ref="BR14" si="190">BR12+BR13</f>
        <v>58.404471121414836</v>
      </c>
      <c r="BS14" s="16">
        <f t="shared" ref="BS14" si="191">BS12+BS13</f>
        <v>65.291317835743939</v>
      </c>
      <c r="BT14" s="16">
        <f t="shared" ref="BT14" si="192">BT12+BT13</f>
        <v>82.204097636448381</v>
      </c>
      <c r="BU14" s="16">
        <f t="shared" ref="BU14" si="193">BU12+BU13</f>
        <v>99.269356034622504</v>
      </c>
      <c r="BV14" s="16">
        <f t="shared" ref="BV14" si="194">BV12+BV13</f>
        <v>167.29370358225137</v>
      </c>
      <c r="BW14" s="16">
        <f t="shared" ref="BW14" si="195">BW12+BW13</f>
        <v>165.89471153765984</v>
      </c>
      <c r="BX14" s="16">
        <f t="shared" ref="BX14" si="196">BX12+BX13</f>
        <v>191.00404003515058</v>
      </c>
      <c r="BY14" s="16">
        <f t="shared" ref="BY14" si="197">BY12+BY13</f>
        <v>183.2468580415256</v>
      </c>
      <c r="BZ14" s="16">
        <f t="shared" ref="BZ14" si="198">BZ12+BZ13</f>
        <v>213.87790800970095</v>
      </c>
      <c r="CA14" s="16">
        <f t="shared" ref="CA14" si="199">CA12+CA13</f>
        <v>204.76795735530965</v>
      </c>
      <c r="CB14" s="16">
        <f t="shared" ref="CB14" si="200">CB12+CB13</f>
        <v>170.47171242197766</v>
      </c>
      <c r="CC14" s="16">
        <f t="shared" ref="CC14" si="201">CC12+CC13</f>
        <v>89.744727587298627</v>
      </c>
      <c r="CD14" s="16">
        <f t="shared" ref="CD14" si="202">CD12+CD13</f>
        <v>21.950763083147663</v>
      </c>
      <c r="CE14" s="16">
        <f t="shared" ref="CE14" si="203">CE12+CE13</f>
        <v>2.0448498126076182</v>
      </c>
      <c r="CF14" s="11">
        <f t="shared" si="2"/>
        <v>2121.5344862875645</v>
      </c>
      <c r="CG14" s="11">
        <f t="shared" si="20"/>
        <v>81.846044581300163</v>
      </c>
      <c r="CH14" s="11">
        <f t="shared" si="21"/>
        <v>44.212971443689248</v>
      </c>
      <c r="CI14" s="11">
        <f t="shared" si="3"/>
        <v>1077.1088163467184</v>
      </c>
      <c r="CJ14" s="11">
        <f t="shared" si="22"/>
        <v>702.85791827004209</v>
      </c>
      <c r="CK14" s="15">
        <f t="shared" si="23"/>
        <v>0.50770271391229282</v>
      </c>
      <c r="CL14" s="15">
        <f t="shared" si="24"/>
        <v>0.33129695643079582</v>
      </c>
      <c r="CM14" s="11">
        <f t="shared" si="25"/>
        <v>205.10050177576758</v>
      </c>
      <c r="CO14" s="7" t="str">
        <f t="shared" si="26"/>
        <v>2040_3</v>
      </c>
      <c r="CP14" s="30">
        <f>CP13</f>
        <v>2040</v>
      </c>
      <c r="CQ14" s="5" t="s">
        <v>23</v>
      </c>
      <c r="CR14" s="16">
        <f>CR12+CR13</f>
        <v>53.832818403118921</v>
      </c>
      <c r="CS14" s="16">
        <f t="shared" ref="CS14" si="204">CS12+CS13</f>
        <v>67.854246003336442</v>
      </c>
      <c r="CT14" s="16">
        <f t="shared" ref="CT14" si="205">CT12+CT13</f>
        <v>79.408713841273212</v>
      </c>
      <c r="CU14" s="16">
        <f t="shared" ref="CU14" si="206">CU12+CU13</f>
        <v>77.332169517668262</v>
      </c>
      <c r="CV14" s="16">
        <f t="shared" ref="CV14" si="207">CV12+CV13</f>
        <v>50.413971137713304</v>
      </c>
      <c r="CW14" s="16">
        <f t="shared" ref="CW14" si="208">CW12+CW13</f>
        <v>51.43662592583869</v>
      </c>
      <c r="CX14" s="16">
        <f t="shared" ref="CX14" si="209">CX12+CX13</f>
        <v>53.84735867072925</v>
      </c>
      <c r="CY14" s="16">
        <f t="shared" ref="CY14" si="210">CY12+CY13</f>
        <v>61.578331867980197</v>
      </c>
      <c r="CZ14" s="16">
        <f t="shared" ref="CZ14" si="211">CZ12+CZ13</f>
        <v>69.595893420916639</v>
      </c>
      <c r="DA14" s="16">
        <f t="shared" ref="DA14" si="212">DA12+DA13</f>
        <v>83.176305796788455</v>
      </c>
      <c r="DB14" s="16">
        <f t="shared" ref="DB14" si="213">DB12+DB13</f>
        <v>100.19313213330847</v>
      </c>
      <c r="DC14" s="16">
        <f t="shared" ref="DC14" si="214">DC12+DC13</f>
        <v>168.18281742491186</v>
      </c>
      <c r="DD14" s="16">
        <f t="shared" ref="DD14" si="215">DD12+DD13</f>
        <v>165.89471153765984</v>
      </c>
      <c r="DE14" s="16">
        <f t="shared" ref="DE14" si="216">DE12+DE13</f>
        <v>191.00404003515058</v>
      </c>
      <c r="DF14" s="16">
        <f t="shared" ref="DF14" si="217">DF12+DF13</f>
        <v>183.2468580415256</v>
      </c>
      <c r="DG14" s="16">
        <f t="shared" ref="DG14" si="218">DG12+DG13</f>
        <v>213.87790800970095</v>
      </c>
      <c r="DH14" s="16">
        <f t="shared" ref="DH14" si="219">DH12+DH13</f>
        <v>204.76795735530965</v>
      </c>
      <c r="DI14" s="16">
        <f t="shared" ref="DI14" si="220">DI12+DI13</f>
        <v>170.47171242197766</v>
      </c>
      <c r="DJ14" s="16">
        <f t="shared" ref="DJ14" si="221">DJ12+DJ13</f>
        <v>89.744727587298627</v>
      </c>
      <c r="DK14" s="16">
        <f t="shared" ref="DK14" si="222">DK12+DK13</f>
        <v>21.950763083147663</v>
      </c>
      <c r="DL14" s="16">
        <f t="shared" ref="DL14" si="223">DL12+DL13</f>
        <v>2.0448498126076182</v>
      </c>
      <c r="DM14" s="11">
        <f t="shared" si="68"/>
        <v>2159.8559120279615</v>
      </c>
      <c r="DN14" s="11">
        <f t="shared" si="34"/>
        <v>88.357775906765795</v>
      </c>
      <c r="DO14" s="11">
        <f t="shared" si="35"/>
        <v>47.229919440042934</v>
      </c>
      <c r="DP14" s="11">
        <f t="shared" si="6"/>
        <v>1077.1088163467184</v>
      </c>
      <c r="DQ14" s="11">
        <f t="shared" si="36"/>
        <v>702.85791827004209</v>
      </c>
      <c r="DR14" s="15">
        <f t="shared" si="37"/>
        <v>0.4986947556771899</v>
      </c>
      <c r="DS14" s="15">
        <f t="shared" si="38"/>
        <v>0.32541889223068826</v>
      </c>
      <c r="DT14" s="11">
        <f t="shared" si="69"/>
        <v>217.27628760226145</v>
      </c>
      <c r="DX14" s="30">
        <f>DX13</f>
        <v>2040</v>
      </c>
      <c r="DY14" s="5" t="s">
        <v>23</v>
      </c>
      <c r="DZ14" s="16">
        <f>DZ12+DZ13</f>
        <v>181.35910734313001</v>
      </c>
      <c r="EA14" s="16">
        <f t="shared" ref="EA14" si="224">EA12+EA13</f>
        <v>203.30932083657916</v>
      </c>
      <c r="EB14" s="16">
        <f t="shared" ref="EB14" si="225">EB12+EB13</f>
        <v>192.25465413593895</v>
      </c>
      <c r="EC14" s="16">
        <f t="shared" ref="EC14" si="226">EC12+EC13</f>
        <v>74.016118123048074</v>
      </c>
      <c r="ED14" s="16">
        <f t="shared" ref="ED14" si="227">ED12+ED13</f>
        <v>49.558071723101477</v>
      </c>
      <c r="EE14" s="16">
        <f t="shared" ref="EE14" si="228">EE12+EE13</f>
        <v>146.7101098356444</v>
      </c>
      <c r="EF14" s="16">
        <f t="shared" ref="EF14" si="229">EF12+EF13</f>
        <v>235.91558847366687</v>
      </c>
      <c r="EG14" s="16">
        <f t="shared" ref="EG14" si="230">EG12+EG13</f>
        <v>330.69301316735744</v>
      </c>
      <c r="EH14" s="16">
        <f t="shared" ref="EH14" si="231">EH12+EH13</f>
        <v>348.66031163729269</v>
      </c>
      <c r="EI14" s="16">
        <f t="shared" ref="EI14" si="232">EI12+EI13</f>
        <v>279.0115266866411</v>
      </c>
      <c r="EJ14" s="16">
        <f t="shared" ref="EJ14" si="233">EJ12+EJ13</f>
        <v>195.31354940468202</v>
      </c>
      <c r="EK14" s="16">
        <f t="shared" ref="EK14" si="234">EK12+EK13</f>
        <v>167.29370358225137</v>
      </c>
      <c r="EL14" s="16">
        <f t="shared" ref="EL14" si="235">EL12+EL13</f>
        <v>165.89471153765984</v>
      </c>
      <c r="EM14" s="16">
        <f t="shared" ref="EM14" si="236">EM12+EM13</f>
        <v>191.00404003515058</v>
      </c>
      <c r="EN14" s="16">
        <f t="shared" ref="EN14" si="237">EN12+EN13</f>
        <v>183.2468580415256</v>
      </c>
      <c r="EO14" s="16">
        <f t="shared" ref="EO14" si="238">EO12+EO13</f>
        <v>213.87790800970095</v>
      </c>
      <c r="EP14" s="16">
        <f t="shared" ref="EP14" si="239">EP12+EP13</f>
        <v>204.76795735530965</v>
      </c>
      <c r="EQ14" s="16">
        <f t="shared" ref="EQ14" si="240">EQ12+EQ13</f>
        <v>170.47171242197766</v>
      </c>
      <c r="ER14" s="16">
        <f t="shared" ref="ER14" si="241">ER12+ER13</f>
        <v>89.744727587298627</v>
      </c>
      <c r="ES14" s="16">
        <f t="shared" ref="ES14" si="242">ES12+ES13</f>
        <v>21.950763083147663</v>
      </c>
      <c r="ET14" s="16">
        <f t="shared" ref="ET14" si="243">ET12+ET13</f>
        <v>2.0448498126076182</v>
      </c>
      <c r="EU14" s="11">
        <f t="shared" si="70"/>
        <v>3647.0986028337115</v>
      </c>
      <c r="EV14" s="11">
        <f t="shared" si="41"/>
        <v>237.33838498351085</v>
      </c>
      <c r="EW14" s="11">
        <f t="shared" si="42"/>
        <v>91.705085278985194</v>
      </c>
      <c r="EX14" s="11">
        <f t="shared" si="10"/>
        <v>1077.1088163467184</v>
      </c>
      <c r="EY14" s="11">
        <f t="shared" si="43"/>
        <v>702.85791827004209</v>
      </c>
      <c r="EZ14" s="15">
        <f t="shared" si="44"/>
        <v>0.29533306708785712</v>
      </c>
      <c r="FA14" s="15">
        <f t="shared" si="45"/>
        <v>0.19271700461400679</v>
      </c>
      <c r="FB14" s="11">
        <f t="shared" si="71"/>
        <v>762.87678319977022</v>
      </c>
    </row>
    <row r="15" spans="1:158" x14ac:dyDescent="0.15">
      <c r="A15" s="7" t="str">
        <f t="shared" ref="A15:A17" si="244">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5">SUM(D15:X15)</f>
        <v>0</v>
      </c>
      <c r="Z15" s="9">
        <f t="shared" ref="Z15:Z17" si="246">E15*3/5+F15*3/5</f>
        <v>0</v>
      </c>
      <c r="AA15" s="9">
        <f t="shared" ref="AA15:AA17" si="247">F15*2/5+G15*1/5</f>
        <v>0</v>
      </c>
      <c r="AB15" s="9">
        <f t="shared" si="0"/>
        <v>0</v>
      </c>
      <c r="AC15" s="9">
        <f t="shared" ref="AC15:AC17" si="248">SUM(S15:X15)</f>
        <v>0</v>
      </c>
      <c r="AD15" s="13" t="e">
        <f t="shared" ref="AD15:AD17" si="249">AB15/Y15</f>
        <v>#DIV/0!</v>
      </c>
      <c r="AE15" s="13" t="e">
        <f t="shared" ref="AE15:AE17" si="250">AC15/Y15</f>
        <v>#DIV/0!</v>
      </c>
      <c r="AF15" s="9">
        <f t="shared" si="17"/>
        <v>0</v>
      </c>
      <c r="BH15" s="7" t="str">
        <f t="shared" si="19"/>
        <v>2045_1</v>
      </c>
      <c r="BI15" s="28">
        <f>管理者入力シート!B12</f>
        <v>2045</v>
      </c>
      <c r="BJ15" s="3" t="s">
        <v>21</v>
      </c>
      <c r="BK15" s="9">
        <f>CM16*$AK$13</f>
        <v>20.59765241613637</v>
      </c>
      <c r="BL15" s="9">
        <f>IF(管理者入力シート!$B$14=1,BK12*管理者用人口入力シート!AM$3,IF(管理者入力シート!$B$14=2,BK12*管理者用人口入力シート!AM$7))</f>
        <v>30.296688986376001</v>
      </c>
      <c r="BM15" s="9">
        <f>IF(管理者入力シート!$B$14=1,BL12*管理者用人口入力シート!AN$3,IF(管理者入力シート!$B$14=2,BL12*管理者用人口入力シート!AN$7))</f>
        <v>36.17573274538244</v>
      </c>
      <c r="BN15" s="9">
        <f>IF(管理者入力シート!$B$14=1,BM12*管理者用人口入力シート!AO$3,IF(管理者入力シート!$B$14=2,BM12*管理者用人口入力シート!AO$7))</f>
        <v>33.567275190164167</v>
      </c>
      <c r="BO15" s="9">
        <f>IF(管理者入力シート!$B$14=1,BN12*管理者用人口入力シート!AP$3,IF(管理者入力シート!$B$14=2,BN12*管理者用人口入力シート!AP$7))</f>
        <v>21.382653727662792</v>
      </c>
      <c r="BP15" s="9">
        <f>IF(管理者入力シート!$B$14=1,BO12*管理者用人口入力シート!AQ$3,IF(管理者入力シート!$B$14=2,BO12*管理者用人口入力シート!AQ$7))</f>
        <v>22.557971952522809</v>
      </c>
      <c r="BQ15" s="9">
        <f>IF(管理者入力シート!$B$14=1,BP12*管理者用人口入力シート!AR$3,IF(管理者入力シート!$B$14=2,BP12*管理者用人口入力シート!AR$7))</f>
        <v>19.071825053919611</v>
      </c>
      <c r="BR15" s="9">
        <f>IF(管理者入力シート!$B$14=1,BQ12*管理者用人口入力シート!AS$3,IF(管理者入力シート!$B$14=2,BQ12*管理者用人口入力シート!AS$7))</f>
        <v>23.048121549186497</v>
      </c>
      <c r="BS15" s="9">
        <f>IF(管理者入力シート!$B$14=1,BR12*管理者用人口入力シート!AT$3,IF(管理者入力シート!$B$14=2,BR12*管理者用人口入力シート!AT$7))</f>
        <v>29.557258128136148</v>
      </c>
      <c r="BT15" s="9">
        <f>IF(管理者入力シート!$B$14=1,BS12*管理者用人口入力シート!AU$3,IF(管理者入力シート!$B$14=2,BS12*管理者用人口入力シート!AU$7))</f>
        <v>31.035307815714532</v>
      </c>
      <c r="BU15" s="9">
        <f>IF(管理者入力シート!$B$14=1,BT12*管理者用人口入力シート!AV$3,IF(管理者入力シート!$B$14=2,BT12*管理者用人口入力シート!AV$7))</f>
        <v>40.589523058270338</v>
      </c>
      <c r="BV15" s="9">
        <f>IF(管理者入力シート!$B$14=1,BU12*管理者用人口入力シート!AW$3,IF(管理者入力シート!$B$14=2,BU12*管理者用人口入力シート!AW$7))</f>
        <v>47.343812013391549</v>
      </c>
      <c r="BW15" s="9">
        <f>IF(管理者入力シート!$B$14=1,BV12*管理者用人口入力シート!AX$3,IF(管理者入力シート!$B$14=2,BV12*管理者用人口入力シート!AX$7))</f>
        <v>93.526413689998066</v>
      </c>
      <c r="BX15" s="9">
        <f>IF(管理者入力シート!$B$14=1,BW12*管理者用人口入力シート!AY$3,IF(管理者入力シート!$B$14=2,BW12*管理者用人口入力シート!AY$7))</f>
        <v>79.88645892307359</v>
      </c>
      <c r="BY15" s="9">
        <f>IF(管理者入力シート!$B$14=1,BX12*管理者用人口入力シート!AZ$3,IF(管理者入力シート!$B$14=2,BX12*管理者用人口入力シート!AZ$7))</f>
        <v>87.682377746649863</v>
      </c>
      <c r="BZ15" s="9">
        <f>IF(管理者入力シート!$B$14=1,BY12*管理者用人口入力シート!BA$3,IF(管理者入力シート!$B$14=2,BY12*管理者用人口入力シート!BA$7))</f>
        <v>69.212504520006192</v>
      </c>
      <c r="CA15" s="9">
        <f>IF(管理者入力シート!$B$14=1,BZ12*管理者用人口入力シート!BB$3,IF(管理者入力シート!$B$14=2,BZ12*管理者用人口入力シート!BB$7))</f>
        <v>74.218835290247469</v>
      </c>
      <c r="CB15" s="9">
        <f>IF(管理者入力シート!$B$14=1,CA12*管理者用人口入力シート!BC$3,IF(管理者入力シート!$B$14=2,CA12*管理者用人口入力シート!BC$7))</f>
        <v>48.746256631128041</v>
      </c>
      <c r="CC15" s="9">
        <f>IF(管理者入力シート!$B$14=1,CB12*管理者用人口入力シート!BD$3,IF(管理者入力シート!$B$14=2,CB12*管理者用人口入力シート!BD$7))</f>
        <v>25.662098118041428</v>
      </c>
      <c r="CD15" s="9">
        <f>IF(管理者入力シート!$B$14=1,CC12*管理者用人口入力シート!BE$3,IF(管理者入力シート!$B$14=2,CC12*管理者用人口入力シート!BE$7))</f>
        <v>3.5554722570595363</v>
      </c>
      <c r="CE15" s="9">
        <f>IF(管理者入力シート!$B$14=1,CD12*管理者用人口入力シート!BF$3,IF(管理者入力シート!$B$14=2,CD12*管理者用人口入力シート!BF$7))</f>
        <v>5.052312551413482E-2</v>
      </c>
      <c r="CF15" s="9">
        <f t="shared" ref="CF15:CF20" si="251">SUM(BK15:CE15)</f>
        <v>837.76476293858173</v>
      </c>
      <c r="CG15" s="9">
        <f t="shared" ref="CG15:CG20" si="252">BL15*3/5+BM15*3/5</f>
        <v>39.883453039055063</v>
      </c>
      <c r="CH15" s="9">
        <f t="shared" ref="CH15:CH20" si="253">BM15*2/5+BN15*1/5</f>
        <v>21.183748136185809</v>
      </c>
      <c r="CI15" s="9">
        <f t="shared" ref="CI15:CI20" si="254">SUM(BX15:CE15)</f>
        <v>389.01452661172021</v>
      </c>
      <c r="CJ15" s="9">
        <f t="shared" ref="CJ15:CJ20" si="255">SUM(BZ15:CE15)</f>
        <v>221.44568994199679</v>
      </c>
      <c r="CK15" s="13">
        <f t="shared" ref="CK15:CK20" si="256">CI15/CF15</f>
        <v>0.46434816051130534</v>
      </c>
      <c r="CL15" s="13">
        <f t="shared" ref="CL15:CL20" si="257">CJ15/CF15</f>
        <v>0.26432920043717739</v>
      </c>
      <c r="CM15" s="9">
        <f t="shared" ref="CM15:CM20" si="258">SUM(BO15:BR15)</f>
        <v>86.060572283291719</v>
      </c>
      <c r="CO15" s="7" t="str">
        <f t="shared" si="26"/>
        <v>2045_1</v>
      </c>
      <c r="CP15" s="28">
        <f>管理者入力シート!B12</f>
        <v>2045</v>
      </c>
      <c r="CQ15" s="3" t="s">
        <v>21</v>
      </c>
      <c r="CR15" s="9">
        <f>DT16*$AK$13+将来予測シート②!$G17</f>
        <v>23.331009048139279</v>
      </c>
      <c r="CS15" s="9">
        <f>IF(管理者入力シート!$B$14=1,CR12*管理者用人口入力シート!AM$3,IF(管理者入力シート!$B$14=2,CR12*管理者用人口入力シート!AM$7))+将来予測シート②!$G18</f>
        <v>33.242071271326559</v>
      </c>
      <c r="CT15" s="9">
        <f>IF(管理者入力シート!$B$14=1,CS12*管理者用人口入力シート!AN$3,IF(管理者入力シート!$B$14=2,CS12*管理者用人口入力シート!AN$7))+将来予測シート②!$G19</f>
        <v>39.963787468189643</v>
      </c>
      <c r="CU15" s="9">
        <f>IF(管理者入力シート!$B$14=1,CT12*管理者用人口入力シート!AO$3,IF(管理者入力シート!$B$14=2,CT12*管理者用人口入力シート!AO$7))+将来予測シート②!$G20</f>
        <v>36.067806663110666</v>
      </c>
      <c r="CV15" s="9">
        <f>IF(管理者入力シート!$B$14=1,CU12*管理者用人口入力シート!AP$3,IF(管理者入力シート!$B$14=2,CU12*管理者用人口入力シート!AP$7))+将来予測シート②!$G21</f>
        <v>22.240777631680807</v>
      </c>
      <c r="CW15" s="9">
        <f>IF(管理者入力シート!$B$14=1,CV12*管理者用人口入力シート!AQ$3,IF(管理者入力シート!$B$14=2,CV12*管理者用人口入力シート!AQ$7))+将来予測シート②!$G22</f>
        <v>24.888060801729775</v>
      </c>
      <c r="CX15" s="9">
        <f>IF(管理者入力シート!$B$14=1,CW12*管理者用人口入力シート!AR$3,IF(管理者入力シート!$B$14=2,CW12*管理者用人口入力シート!AR$7))+将来予測シート②!$G23</f>
        <v>21.139978679539745</v>
      </c>
      <c r="CY15" s="9">
        <f>IF(管理者入力シート!$B$14=1,CX12*管理者用人口入力シート!AS$3,IF(管理者入力シート!$B$14=2,CX12*管理者用人口入力シート!AS$7))+将来予測シート②!$G24</f>
        <v>24.639649918825917</v>
      </c>
      <c r="CZ15" s="9">
        <f>IF(管理者入力シート!$B$14=1,CY12*管理者用人口入力シート!AT$3,IF(管理者入力シート!$B$14=2,CY12*管理者用人口入力シート!AT$7))+将来予測シート②!$G25</f>
        <v>31.269497366709729</v>
      </c>
      <c r="DA15" s="9">
        <f>IF(管理者入力シート!$B$14=1,CZ12*管理者用人口入力シート!AU$3,IF(管理者入力シート!$B$14=2,CZ12*管理者用人口入力シート!AU$7))+将来予測シート②!$G26</f>
        <v>32.727354069902482</v>
      </c>
      <c r="DB15" s="9">
        <f>IF(管理者入力シート!$B$14=1,DA12*管理者用人口入力シート!AV$3,IF(管理者入力シート!$B$14=2,DA12*管理者用人口入力シート!AV$7))+将来予測シート②!$G27</f>
        <v>40.589523058270338</v>
      </c>
      <c r="DC15" s="9">
        <f>IF(管理者入力シート!$B$14=1,DB12*管理者用人口入力シート!AW$3,IF(管理者入力シート!$B$14=2,DB12*管理者用人口入力シート!AW$7))+将来予測シート②!$G28</f>
        <v>47.343812013391549</v>
      </c>
      <c r="DD15" s="9">
        <f>IF(管理者入力シート!$B$14=1,DC12*管理者用人口入力シート!AX$3,IF(管理者入力シート!$B$14=2,DC12*管理者用人口入力シート!AX$7))+将来予測シート②!$G29</f>
        <v>93.526413689998066</v>
      </c>
      <c r="DE15" s="9">
        <f>IF(管理者入力シート!$B$14=1,DD12*管理者用人口入力シート!AY$3,IF(管理者入力シート!$B$14=2,DD12*管理者用人口入力シート!AY$7))</f>
        <v>79.88645892307359</v>
      </c>
      <c r="DF15" s="9">
        <f>IF(管理者入力シート!$B$14=1,DE12*管理者用人口入力シート!AZ$3,IF(管理者入力シート!$B$14=2,DE12*管理者用人口入力シート!AZ$7))</f>
        <v>87.682377746649863</v>
      </c>
      <c r="DG15" s="9">
        <f>IF(管理者入力シート!$B$14=1,DF12*管理者用人口入力シート!BA$3,IF(管理者入力シート!$B$14=2,DF12*管理者用人口入力シート!BA$7))</f>
        <v>69.212504520006192</v>
      </c>
      <c r="DH15" s="9">
        <f>IF(管理者入力シート!$B$14=1,DG12*管理者用人口入力シート!BB$3,IF(管理者入力シート!$B$14=2,DG12*管理者用人口入力シート!BB$7))</f>
        <v>74.218835290247469</v>
      </c>
      <c r="DI15" s="9">
        <f>IF(管理者入力シート!$B$14=1,DH12*管理者用人口入力シート!BC$3,IF(管理者入力シート!$B$14=2,DH12*管理者用人口入力シート!BC$7))</f>
        <v>48.746256631128041</v>
      </c>
      <c r="DJ15" s="9">
        <f>IF(管理者入力シート!$B$14=1,DI12*管理者用人口入力シート!BD$3,IF(管理者入力シート!$B$14=2,DI12*管理者用人口入力シート!BD$7))</f>
        <v>25.662098118041428</v>
      </c>
      <c r="DK15" s="9">
        <f>IF(管理者入力シート!$B$14=1,DJ12*管理者用人口入力シート!BE$3,IF(管理者入力シート!$B$14=2,DJ12*管理者用人口入力シート!BE$7))</f>
        <v>3.5554722570595363</v>
      </c>
      <c r="DL15" s="9">
        <f>IF(管理者入力シート!$B$14=1,DK12*管理者用人口入力シート!BF$3,IF(管理者入力シート!$B$14=2,DK12*管理者用人口入力シート!BF$7))</f>
        <v>5.052312551413482E-2</v>
      </c>
      <c r="DM15" s="9">
        <f t="shared" ref="DM15:DM20" si="259">SUM(CR15:DL15)</f>
        <v>859.98426829253492</v>
      </c>
      <c r="DN15" s="9">
        <f t="shared" ref="DN15:DN20" si="260">CS15*3/5+CT15*3/5</f>
        <v>43.923515243709716</v>
      </c>
      <c r="DO15" s="9">
        <f t="shared" ref="DO15:DO20" si="261">CT15*2/5+CU15*1/5</f>
        <v>23.199076319897991</v>
      </c>
      <c r="DP15" s="9">
        <f t="shared" ref="DP15:DP20" si="262">SUM(DE15:DL15)</f>
        <v>389.01452661172021</v>
      </c>
      <c r="DQ15" s="9">
        <f t="shared" ref="DQ15:DQ20" si="263">SUM(DG15:DL15)</f>
        <v>221.44568994199679</v>
      </c>
      <c r="DR15" s="13">
        <f t="shared" ref="DR15:DR20" si="264">DP15/DM15</f>
        <v>0.45235074751319965</v>
      </c>
      <c r="DS15" s="13">
        <f t="shared" ref="DS15:DS20" si="265">DQ15/DM15</f>
        <v>0.25749969866503319</v>
      </c>
      <c r="DT15" s="9">
        <f t="shared" ref="DT15:DT20" si="266">SUM(CV15:CY15)</f>
        <v>92.90846703177624</v>
      </c>
      <c r="DV15" s="62" t="s">
        <v>404</v>
      </c>
      <c r="DW15" s="210">
        <f>AK13+AK14</f>
        <v>0.47497197116837231</v>
      </c>
    </row>
    <row r="16" spans="1:158" ht="12.95" customHeight="1" x14ac:dyDescent="0.15">
      <c r="A16" s="7" t="str">
        <f t="shared" si="244"/>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5"/>
        <v>0</v>
      </c>
      <c r="Z16" s="10">
        <f t="shared" si="246"/>
        <v>0</v>
      </c>
      <c r="AA16" s="10">
        <f t="shared" si="247"/>
        <v>0</v>
      </c>
      <c r="AB16" s="10">
        <f t="shared" si="0"/>
        <v>0</v>
      </c>
      <c r="AC16" s="10">
        <f t="shared" si="248"/>
        <v>0</v>
      </c>
      <c r="AD16" s="14" t="e">
        <f t="shared" si="249"/>
        <v>#DIV/0!</v>
      </c>
      <c r="AE16" s="14" t="e">
        <f t="shared" si="250"/>
        <v>#DIV/0!</v>
      </c>
      <c r="AF16" s="10">
        <f t="shared" si="17"/>
        <v>0</v>
      </c>
      <c r="BH16" s="7" t="str">
        <f t="shared" si="19"/>
        <v>2045_2</v>
      </c>
      <c r="BI16" s="29">
        <f>BI15</f>
        <v>2045</v>
      </c>
      <c r="BJ16" s="4" t="s">
        <v>22</v>
      </c>
      <c r="BK16" s="10">
        <f>CM16*$AK$14</f>
        <v>17.948391777355443</v>
      </c>
      <c r="BL16" s="10">
        <f>IF(管理者入力シート!$B$14=1,BK13*管理者用人口入力シート!AM$4,IF(管理者入力シート!$B$14=2,BK13*管理者用人口入力シート!AM$8))</f>
        <v>21.610058696822005</v>
      </c>
      <c r="BM16" s="10">
        <f>IF(管理者入力シート!$B$14=1,BL13*管理者用人口入力シート!AN$4,IF(管理者入力シート!$B$14=2,BL13*管理者用人口入力シート!AN$8))</f>
        <v>25.787490971284171</v>
      </c>
      <c r="BN16" s="10">
        <f>IF(管理者入力シート!$B$14=1,BM13*管理者用人口入力シート!AO$4,IF(管理者入力シート!$B$14=2,BM13*管理者用人口入力シート!AO$8))</f>
        <v>25.968669277603624</v>
      </c>
      <c r="BO16" s="10">
        <f>IF(管理者入力シート!$B$14=1,BN13*管理者用人口入力シート!AP$4,IF(管理者入力シート!$B$14=2,BN13*管理者用人口入力シート!AP$8))</f>
        <v>17.316983963550815</v>
      </c>
      <c r="BP16" s="10">
        <f>IF(管理者入力シート!$B$14=1,BO13*管理者用人口入力シート!AQ$4,IF(管理者入力シート!$B$14=2,BO13*管理者用人口入力シート!AQ$8))</f>
        <v>19.311874968955198</v>
      </c>
      <c r="BQ16" s="10">
        <f>IF(管理者入力シート!$B$14=1,BP13*管理者用人口入力シート!AR$4,IF(管理者入力シート!$B$14=2,BP13*管理者用人口入力シート!AR$8))</f>
        <v>20.737409872641415</v>
      </c>
      <c r="BR16" s="10">
        <f>IF(管理者入力シート!$B$14=1,BQ13*管理者用人口入力シート!AS$4,IF(管理者入力シート!$B$14=2,BQ13*管理者用人口入力シート!AS$8))</f>
        <v>23.788086679605307</v>
      </c>
      <c r="BS16" s="10">
        <f>IF(管理者入力シート!$B$14=1,BR13*管理者用人口入力シート!AT$4,IF(管理者入力シート!$B$14=2,BR13*管理者用人口入力シート!AT$8))</f>
        <v>31.126519851519806</v>
      </c>
      <c r="BT16" s="10">
        <f>IF(管理者入力シート!$B$14=1,BS13*管理者用人口入力シート!AU$4,IF(管理者入力シート!$B$14=2,BS13*管理者用人口入力シート!AU$8))</f>
        <v>32.943888669944116</v>
      </c>
      <c r="BU16" s="10">
        <f>IF(管理者入力シート!$B$14=1,BT13*管理者用人口入力シート!AV$4,IF(管理者入力シート!$B$14=2,BT13*管理者用人口入力シート!AV$8))</f>
        <v>36.74441002087066</v>
      </c>
      <c r="BV16" s="10">
        <f>IF(管理者入力シート!$B$14=1,BU13*管理者用人口入力シート!AW$4,IF(管理者入力シート!$B$14=2,BU13*管理者用人口入力シート!AW$8))</f>
        <v>49.783897601707558</v>
      </c>
      <c r="BW16" s="10">
        <f>IF(管理者入力シート!$B$14=1,BV13*管理者用人口入力シート!AX$4,IF(管理者入力シート!$B$14=2,BV13*管理者用人口入力シート!AX$8))</f>
        <v>70.802018384384326</v>
      </c>
      <c r="BX16" s="10">
        <f>IF(管理者入力シート!$B$14=1,BW13*管理者用人口入力シート!AY$4,IF(管理者入力シート!$B$14=2,BW13*管理者用人口入力シート!AY$8))</f>
        <v>82.986616993803395</v>
      </c>
      <c r="BY16" s="10">
        <f>IF(管理者入力シート!$B$14=1,BX13*管理者用人口入力シート!AZ$4,IF(管理者入力シート!$B$14=2,BX13*管理者用人口入力シート!AZ$8))</f>
        <v>92.191473585144962</v>
      </c>
      <c r="BZ16" s="10">
        <f>IF(管理者入力シート!$B$14=1,BY13*管理者用人口入力シート!BA$4,IF(管理者入力シート!$B$14=2,BY13*管理者用人口入力シート!BA$8))</f>
        <v>94.093409312487935</v>
      </c>
      <c r="CA16" s="10">
        <f>IF(管理者入力シート!$B$14=1,BZ13*管理者用人口入力シート!BB$4,IF(管理者入力シート!$B$14=2,BZ13*管理者用人口入力シート!BB$8))</f>
        <v>91.923061787368354</v>
      </c>
      <c r="CB16" s="10">
        <f>IF(管理者入力シート!$B$14=1,CA13*管理者用人口入力シート!BC$4,IF(管理者入力シート!$B$14=2,CA13*管理者用人口入力シート!BC$8))</f>
        <v>88.421279706128516</v>
      </c>
      <c r="CC16" s="10">
        <f>IF(管理者入力シート!$B$14=1,CB13*管理者用人口入力シート!BD$4,IF(管理者入力シート!$B$14=2,CB13*管理者用人口入力シート!BD$8))</f>
        <v>57.21339948975006</v>
      </c>
      <c r="CD16" s="10">
        <f>IF(管理者入力シート!$B$14=1,CC13*管理者用人口入力シート!BE$4,IF(管理者入力シート!$B$14=2,CC13*管理者用人口入力シート!BE$8))</f>
        <v>22.119150416678892</v>
      </c>
      <c r="CE16" s="10">
        <f>IF(管理者入力シート!$B$14=1,CD13*管理者用人口入力シート!BF$4,IF(管理者入力シート!$B$14=2,CD13*管理者用人口入力シート!BF$8))</f>
        <v>2.1140005486580051</v>
      </c>
      <c r="CF16" s="10">
        <f t="shared" si="251"/>
        <v>924.93209257626461</v>
      </c>
      <c r="CG16" s="10">
        <f t="shared" si="252"/>
        <v>28.438529800863705</v>
      </c>
      <c r="CH16" s="10">
        <f t="shared" si="253"/>
        <v>15.508730244034393</v>
      </c>
      <c r="CI16" s="10">
        <f t="shared" si="254"/>
        <v>531.06239184002015</v>
      </c>
      <c r="CJ16" s="10">
        <f t="shared" si="255"/>
        <v>355.88430126107176</v>
      </c>
      <c r="CK16" s="14">
        <f t="shared" si="256"/>
        <v>0.57416365601589481</v>
      </c>
      <c r="CL16" s="14">
        <f t="shared" si="257"/>
        <v>0.38476803228851914</v>
      </c>
      <c r="CM16" s="10">
        <f t="shared" si="258"/>
        <v>81.154355484752728</v>
      </c>
      <c r="CO16" s="7" t="str">
        <f t="shared" si="26"/>
        <v>2045_2</v>
      </c>
      <c r="CP16" s="29">
        <f>CP15</f>
        <v>2045</v>
      </c>
      <c r="CQ16" s="4" t="s">
        <v>22</v>
      </c>
      <c r="CR16" s="10">
        <f>DT16*$AK$14+将来予測シート②!$H17</f>
        <v>20.458804871650255</v>
      </c>
      <c r="CS16" s="10">
        <f>IF(管理者入力シート!$B$14=1,CR13*管理者用人口入力シート!AM$4,IF(管理者入力シート!$B$14=2,CR13*管理者用人口入力シート!AM$8))+将来予測シート②!$H18</f>
        <v>23.832900137779827</v>
      </c>
      <c r="CT16" s="10">
        <f>IF(管理者入力シート!$B$14=1,CS13*管理者用人口入力シート!AN$4,IF(管理者入力シート!$B$14=2,CS13*管理者用人口入力シート!AN$8))+将来予測シート②!$H19</f>
        <v>28.895049680312692</v>
      </c>
      <c r="CU16" s="10">
        <f>IF(管理者入力シート!$B$14=1,CT13*管理者用人口入力シート!AO$4,IF(管理者入力シート!$B$14=2,CT13*管理者用人口入力シート!AO$8))+将来予測シート②!$H20</f>
        <v>28.248809797595683</v>
      </c>
      <c r="CV16" s="10">
        <f>IF(管理者入力シート!$B$14=1,CU13*管理者用人口入力シート!AP$4,IF(管理者入力シート!$B$14=2,CU13*管理者用人口入力シート!AP$8))+将来予測シート②!$H21</f>
        <v>18.197347919895446</v>
      </c>
      <c r="CW16" s="10">
        <f>IF(管理者入力シート!$B$14=1,CV13*管理者用人口入力シート!AQ$4,IF(管理者入力シート!$B$14=2,CV13*管理者用人口入力シート!AQ$8))+将来予測シート②!$H22</f>
        <v>21.708302209942499</v>
      </c>
      <c r="CX16" s="10">
        <f>IF(管理者入力シート!$B$14=1,CW13*管理者用人口入力シート!AR$4,IF(管理者入力シート!$B$14=2,CW13*管理者用人口入力シート!AR$8))+将来予測シート②!$H23</f>
        <v>22.707678185063614</v>
      </c>
      <c r="CY16" s="10">
        <f>IF(管理者入力シート!$B$14=1,CX13*管理者用人口入力シート!AS$4,IF(管理者入力シート!$B$14=2,CX13*管理者用人口入力シート!AS$8))+将来予測シート②!$H24</f>
        <v>25.370419056531244</v>
      </c>
      <c r="CZ16" s="10">
        <f>IF(管理者入力シート!$B$14=1,CY13*管理者用人口入力シート!AT$4,IF(管理者入力シート!$B$14=2,CY13*管理者用人口入力シート!AT$8))+将来予測シート②!$H25</f>
        <v>33.718856198118928</v>
      </c>
      <c r="DA16" s="10">
        <f>IF(管理者入力シート!$B$14=1,CZ13*管理者用人口入力シート!AU$4,IF(管理者入力シート!$B$14=2,CZ13*管理者用人口入力シート!AU$8))+将来予測シート②!$H26</f>
        <v>35.464179220453943</v>
      </c>
      <c r="DB16" s="10">
        <f>IF(管理者入力シート!$B$14=1,DA13*管理者用人口入力シート!AV$4,IF(管理者入力シート!$B$14=2,DA13*管理者用人口入力シート!AV$8))+将来予測シート②!$H27</f>
        <v>37.668186119556616</v>
      </c>
      <c r="DC16" s="10">
        <f>IF(管理者入力シート!$B$14=1,DB13*管理者用人口入力シート!AW$4,IF(管理者入力シート!$B$14=2,DB13*管理者用人口入力シート!AW$8))+将来予測シート②!$H28</f>
        <v>50.673011444368051</v>
      </c>
      <c r="DD16" s="10">
        <f>IF(管理者入力シート!$B$14=1,DC13*管理者用人口入力シート!AX$4,IF(管理者入力シート!$B$14=2,DC13*管理者用人口入力シート!AX$8))+将来予測シート②!$H29</f>
        <v>71.690460047077778</v>
      </c>
      <c r="DE16" s="10">
        <f>IF(管理者入力シート!$B$14=1,DD13*管理者用人口入力シート!AY$4,IF(管理者入力シート!$B$14=2,DD13*管理者用人口入力シート!AY$8))</f>
        <v>82.986616993803395</v>
      </c>
      <c r="DF16" s="10">
        <f>IF(管理者入力シート!$B$14=1,DE13*管理者用人口入力シート!AZ$4,IF(管理者入力シート!$B$14=2,DE13*管理者用人口入力シート!AZ$8))</f>
        <v>92.191473585144962</v>
      </c>
      <c r="DG16" s="10">
        <f>IF(管理者入力シート!$B$14=1,DF13*管理者用人口入力シート!BA$4,IF(管理者入力シート!$B$14=2,DF13*管理者用人口入力シート!BA$8))</f>
        <v>94.093409312487935</v>
      </c>
      <c r="DH16" s="10">
        <f>IF(管理者入力シート!$B$14=1,DG13*管理者用人口入力シート!BB$4,IF(管理者入力シート!$B$14=2,DG13*管理者用人口入力シート!BB$8))</f>
        <v>91.923061787368354</v>
      </c>
      <c r="DI16" s="10">
        <f>IF(管理者入力シート!$B$14=1,DH13*管理者用人口入力シート!BC$4,IF(管理者入力シート!$B$14=2,DH13*管理者用人口入力シート!BC$8))</f>
        <v>88.421279706128516</v>
      </c>
      <c r="DJ16" s="10">
        <f>IF(管理者入力シート!$B$14=1,DI13*管理者用人口入力シート!BD$4,IF(管理者入力シート!$B$14=2,DI13*管理者用人口入力シート!BD$8))</f>
        <v>57.21339948975006</v>
      </c>
      <c r="DK16" s="10">
        <f>IF(管理者入力シート!$B$14=1,DJ13*管理者用人口入力シート!BE$4,IF(管理者入力シート!$B$14=2,DJ13*管理者用人口入力シート!BE$8))</f>
        <v>22.119150416678892</v>
      </c>
      <c r="DL16" s="10">
        <f>IF(管理者入力シート!$B$14=1,DK13*管理者用人口入力シート!BF$4,IF(管理者入力シート!$B$14=2,DK13*管理者用人口入力シート!BF$8))</f>
        <v>2.1140005486580051</v>
      </c>
      <c r="DM16" s="10">
        <f t="shared" si="259"/>
        <v>949.69639672836672</v>
      </c>
      <c r="DN16" s="10">
        <f t="shared" si="260"/>
        <v>31.636769890855511</v>
      </c>
      <c r="DO16" s="10">
        <f t="shared" si="261"/>
        <v>17.207781831644212</v>
      </c>
      <c r="DP16" s="10">
        <f t="shared" si="262"/>
        <v>531.06239184002015</v>
      </c>
      <c r="DQ16" s="10">
        <f t="shared" si="263"/>
        <v>355.88430126107176</v>
      </c>
      <c r="DR16" s="14">
        <f t="shared" si="264"/>
        <v>0.55919175187932746</v>
      </c>
      <c r="DS16" s="14">
        <f t="shared" si="265"/>
        <v>0.37473481260649893</v>
      </c>
      <c r="DT16" s="10">
        <f t="shared" si="266"/>
        <v>87.983747371432798</v>
      </c>
      <c r="DV16" s="211" t="s">
        <v>406</v>
      </c>
      <c r="DW16" s="7">
        <f>IF(DW10&lt;0,ABS(DW10)/DW15,0)</f>
        <v>78.433115571359394</v>
      </c>
    </row>
    <row r="17" spans="1:158" ht="12.95" customHeight="1" x14ac:dyDescent="0.15">
      <c r="A17" s="7" t="str">
        <f t="shared" si="244"/>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5"/>
        <v>0</v>
      </c>
      <c r="Z17" s="11">
        <f t="shared" si="246"/>
        <v>0</v>
      </c>
      <c r="AA17" s="11">
        <f t="shared" si="247"/>
        <v>0</v>
      </c>
      <c r="AB17" s="11">
        <f t="shared" si="0"/>
        <v>0</v>
      </c>
      <c r="AC17" s="11">
        <f t="shared" si="248"/>
        <v>0</v>
      </c>
      <c r="AD17" s="15" t="e">
        <f t="shared" si="249"/>
        <v>#DIV/0!</v>
      </c>
      <c r="AE17" s="15" t="e">
        <f t="shared" si="250"/>
        <v>#DIV/0!</v>
      </c>
      <c r="AF17" s="11">
        <f t="shared" si="17"/>
        <v>0</v>
      </c>
      <c r="BH17" s="7" t="str">
        <f t="shared" si="19"/>
        <v>2045_3</v>
      </c>
      <c r="BI17" s="30">
        <f>BI16</f>
        <v>2045</v>
      </c>
      <c r="BJ17" s="5" t="s">
        <v>23</v>
      </c>
      <c r="BK17" s="16">
        <f>BK15+BK16</f>
        <v>38.546044193491809</v>
      </c>
      <c r="BL17" s="16">
        <f t="shared" ref="BL17:CE17" si="267">BL15+BL16</f>
        <v>51.906747683198006</v>
      </c>
      <c r="BM17" s="16">
        <f t="shared" si="267"/>
        <v>61.963223716666612</v>
      </c>
      <c r="BN17" s="16">
        <f t="shared" si="267"/>
        <v>59.535944467767791</v>
      </c>
      <c r="BO17" s="16">
        <f t="shared" si="267"/>
        <v>38.69963769121361</v>
      </c>
      <c r="BP17" s="16">
        <f t="shared" si="267"/>
        <v>41.869846921478008</v>
      </c>
      <c r="BQ17" s="16">
        <f t="shared" si="267"/>
        <v>39.809234926561025</v>
      </c>
      <c r="BR17" s="16">
        <f t="shared" si="267"/>
        <v>46.836208228791804</v>
      </c>
      <c r="BS17" s="16">
        <f t="shared" si="267"/>
        <v>60.683777979655957</v>
      </c>
      <c r="BT17" s="16">
        <f t="shared" si="267"/>
        <v>63.979196485658647</v>
      </c>
      <c r="BU17" s="16">
        <f t="shared" si="267"/>
        <v>77.333933079140991</v>
      </c>
      <c r="BV17" s="16">
        <f t="shared" si="267"/>
        <v>97.127709615099107</v>
      </c>
      <c r="BW17" s="16">
        <f t="shared" si="267"/>
        <v>164.32843207438239</v>
      </c>
      <c r="BX17" s="16">
        <f t="shared" si="267"/>
        <v>162.87307591687699</v>
      </c>
      <c r="BY17" s="16">
        <f t="shared" si="267"/>
        <v>179.87385133179481</v>
      </c>
      <c r="BZ17" s="16">
        <f t="shared" si="267"/>
        <v>163.30591383249413</v>
      </c>
      <c r="CA17" s="16">
        <f t="shared" si="267"/>
        <v>166.14189707761582</v>
      </c>
      <c r="CB17" s="16">
        <f t="shared" si="267"/>
        <v>137.16753633725656</v>
      </c>
      <c r="CC17" s="16">
        <f t="shared" si="267"/>
        <v>82.875497607791488</v>
      </c>
      <c r="CD17" s="16">
        <f t="shared" si="267"/>
        <v>25.674622673738426</v>
      </c>
      <c r="CE17" s="16">
        <f t="shared" si="267"/>
        <v>2.1645236741721399</v>
      </c>
      <c r="CF17" s="11">
        <f t="shared" si="251"/>
        <v>1762.696855514846</v>
      </c>
      <c r="CG17" s="11">
        <f t="shared" si="252"/>
        <v>68.321982839918775</v>
      </c>
      <c r="CH17" s="11">
        <f t="shared" si="253"/>
        <v>36.692478380220201</v>
      </c>
      <c r="CI17" s="11">
        <f t="shared" si="254"/>
        <v>920.07691845174054</v>
      </c>
      <c r="CJ17" s="11">
        <f t="shared" si="255"/>
        <v>577.32999120306863</v>
      </c>
      <c r="CK17" s="15">
        <f t="shared" si="256"/>
        <v>0.52197115775928804</v>
      </c>
      <c r="CL17" s="15">
        <f t="shared" si="257"/>
        <v>0.32752653378645924</v>
      </c>
      <c r="CM17" s="11">
        <f t="shared" si="258"/>
        <v>167.21492776804445</v>
      </c>
      <c r="CO17" s="7" t="str">
        <f t="shared" si="26"/>
        <v>2045_3</v>
      </c>
      <c r="CP17" s="30">
        <f>CP16</f>
        <v>2045</v>
      </c>
      <c r="CQ17" s="5" t="s">
        <v>23</v>
      </c>
      <c r="CR17" s="16">
        <f>CR15+CR16</f>
        <v>43.789813919789538</v>
      </c>
      <c r="CS17" s="16">
        <f>CS15+CS16</f>
        <v>57.074971409106382</v>
      </c>
      <c r="CT17" s="16">
        <f t="shared" ref="CT17:DL17" si="268">CT15+CT16</f>
        <v>68.858837148502332</v>
      </c>
      <c r="CU17" s="16">
        <f t="shared" si="268"/>
        <v>64.316616460706342</v>
      </c>
      <c r="CV17" s="16">
        <f t="shared" si="268"/>
        <v>40.438125551576249</v>
      </c>
      <c r="CW17" s="16">
        <f t="shared" si="268"/>
        <v>46.596363011672274</v>
      </c>
      <c r="CX17" s="16">
        <f t="shared" si="268"/>
        <v>43.847656864603358</v>
      </c>
      <c r="CY17" s="16">
        <f t="shared" si="268"/>
        <v>50.010068975357157</v>
      </c>
      <c r="CZ17" s="16">
        <f t="shared" si="268"/>
        <v>64.988353564828657</v>
      </c>
      <c r="DA17" s="16">
        <f t="shared" si="268"/>
        <v>68.191533290356432</v>
      </c>
      <c r="DB17" s="16">
        <f t="shared" si="268"/>
        <v>78.257709177826953</v>
      </c>
      <c r="DC17" s="16">
        <f t="shared" si="268"/>
        <v>98.0168234577596</v>
      </c>
      <c r="DD17" s="16">
        <f t="shared" si="268"/>
        <v>165.21687373707584</v>
      </c>
      <c r="DE17" s="16">
        <f t="shared" si="268"/>
        <v>162.87307591687699</v>
      </c>
      <c r="DF17" s="16">
        <f t="shared" si="268"/>
        <v>179.87385133179481</v>
      </c>
      <c r="DG17" s="16">
        <f t="shared" si="268"/>
        <v>163.30591383249413</v>
      </c>
      <c r="DH17" s="16">
        <f t="shared" si="268"/>
        <v>166.14189707761582</v>
      </c>
      <c r="DI17" s="16">
        <f t="shared" si="268"/>
        <v>137.16753633725656</v>
      </c>
      <c r="DJ17" s="16">
        <f t="shared" si="268"/>
        <v>82.875497607791488</v>
      </c>
      <c r="DK17" s="16">
        <f t="shared" si="268"/>
        <v>25.674622673738426</v>
      </c>
      <c r="DL17" s="16">
        <f t="shared" si="268"/>
        <v>2.1645236741721399</v>
      </c>
      <c r="DM17" s="11">
        <f t="shared" si="259"/>
        <v>1809.6806650209014</v>
      </c>
      <c r="DN17" s="11">
        <f t="shared" si="260"/>
        <v>75.56028513456522</v>
      </c>
      <c r="DO17" s="11">
        <f t="shared" si="261"/>
        <v>40.406858151542203</v>
      </c>
      <c r="DP17" s="11">
        <f t="shared" si="262"/>
        <v>920.07691845174054</v>
      </c>
      <c r="DQ17" s="11">
        <f t="shared" si="263"/>
        <v>577.32999120306863</v>
      </c>
      <c r="DR17" s="15">
        <f t="shared" si="264"/>
        <v>0.50841948871742726</v>
      </c>
      <c r="DS17" s="15">
        <f t="shared" si="265"/>
        <v>0.31902313063415561</v>
      </c>
      <c r="DT17" s="11">
        <f t="shared" si="266"/>
        <v>180.89221440320904</v>
      </c>
      <c r="DV17" s="62" t="s">
        <v>407</v>
      </c>
      <c r="DW17" s="7">
        <f>IF(DW9&gt;=0,0,IF(AND(DW10&lt;=0,DW9&lt;=0,DW16*2&gt;=ABS(DW9)),ROUND(DW16/3,0),ROUND(ABS(DW9)/6,0)))</f>
        <v>50</v>
      </c>
      <c r="DX17" s="2" t="s">
        <v>360</v>
      </c>
    </row>
    <row r="18" spans="1:158" x14ac:dyDescent="0.15">
      <c r="A18" s="7" t="str">
        <f t="shared" ref="A18:A20" si="269">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0">E18*3/5+F18*3/5</f>
        <v>0</v>
      </c>
      <c r="AA18" s="9">
        <f t="shared" ref="AA18:AA20" si="271">F18*2/5+G18*1/5</f>
        <v>0</v>
      </c>
      <c r="AB18" s="9">
        <f t="shared" si="0"/>
        <v>0</v>
      </c>
      <c r="AC18" s="9">
        <f t="shared" ref="AC18:AC20" si="272">SUM(S18:X18)</f>
        <v>0</v>
      </c>
      <c r="AD18" s="13" t="e">
        <f t="shared" ref="AD18:AD20" si="273">AB18/Y18</f>
        <v>#DIV/0!</v>
      </c>
      <c r="AE18" s="13" t="e">
        <f t="shared" ref="AE18:AE20" si="274">AC18/Y18</f>
        <v>#DIV/0!</v>
      </c>
      <c r="AF18" s="9">
        <f t="shared" si="17"/>
        <v>0</v>
      </c>
      <c r="BH18" s="7" t="str">
        <f t="shared" si="19"/>
        <v>2050_1</v>
      </c>
      <c r="BI18" s="28">
        <f>管理者入力シート!B13</f>
        <v>2050</v>
      </c>
      <c r="BJ18" s="3" t="s">
        <v>21</v>
      </c>
      <c r="BK18" s="9">
        <f>CM19*$AK$13</f>
        <v>16.457635176727347</v>
      </c>
      <c r="BL18" s="9">
        <f>IF(管理者入力シート!$B$14=1,BK15*管理者用人口入力シート!AM$3,IF(管理者入力シート!$B$14=2,BK15*管理者用人口入力シート!AM$7))</f>
        <v>23.859407187938672</v>
      </c>
      <c r="BM18" s="9">
        <f>IF(管理者入力シート!$B$14=1,BL15*管理者用人口入力シート!AN$3,IF(管理者入力シート!$B$14=2,BL15*管理者用人口入力シート!AN$7))</f>
        <v>29.859960052939702</v>
      </c>
      <c r="BN18" s="9">
        <f>IF(管理者入力シート!$B$14=1,BM15*管理者用人口入力シート!AO$3,IF(管理者入力シート!$B$14=2,BM15*管理者用人口入力シート!AO$7))</f>
        <v>28.289077416946668</v>
      </c>
      <c r="BO18" s="9">
        <f>IF(管理者入力シート!$B$14=1,BN15*管理者用人口入力シート!AP$3,IF(管理者入力シート!$B$14=2,BN15*管理者用人口入力シート!AP$7))</f>
        <v>17.199449487303301</v>
      </c>
      <c r="BP18" s="9">
        <f>IF(管理者入力シート!$B$14=1,BO15*管理者用人口入力シート!AQ$3,IF(管理者入力シート!$B$14=2,BO15*管理者用人口入力シート!AQ$7))</f>
        <v>17.615401714757382</v>
      </c>
      <c r="BQ18" s="9">
        <f>IF(管理者入力シート!$B$14=1,BP15*管理者用人口入力シート!AR$3,IF(管理者入力シート!$B$14=2,BP15*管理者用人口入力シート!AR$7))</f>
        <v>20.022134132835976</v>
      </c>
      <c r="BR18" s="9">
        <f>IF(管理者入力シート!$B$14=1,BQ15*管理者用人口入力シート!AS$3,IF(管理者入力シート!$B$14=2,BQ15*管理者用人口入力シート!AS$7))</f>
        <v>17.098827420861621</v>
      </c>
      <c r="BS18" s="9">
        <f>IF(管理者入力シート!$B$14=1,BR15*管理者用人口入力シート!AT$3,IF(管理者入力シート!$B$14=2,BR15*管理者用人口入力シート!AT$7))</f>
        <v>24.796226598757592</v>
      </c>
      <c r="BT18" s="9">
        <f>IF(管理者入力シート!$B$14=1,BS15*管理者用人口入力シート!AU$3,IF(管理者入力シート!$B$14=2,BS15*管理者用人口入力シート!AU$7))</f>
        <v>29.208679939751242</v>
      </c>
      <c r="BU18" s="9">
        <f>IF(管理者入力シート!$B$14=1,BT15*管理者用人口入力シート!AV$3,IF(管理者入力シート!$B$14=2,BT15*管理者用人口入力シート!AV$7))</f>
        <v>28.936701746872046</v>
      </c>
      <c r="BV18" s="9">
        <f>IF(管理者入力シート!$B$14=1,BU15*管理者用人口入力シート!AW$3,IF(管理者入力シート!$B$14=2,BU15*管理者用人口入力シート!AW$7))</f>
        <v>40.418086471959903</v>
      </c>
      <c r="BW18" s="9">
        <f>IF(管理者入力シート!$B$14=1,BV15*管理者用人口入力シート!AX$3,IF(管理者入力シート!$B$14=2,BV15*管理者用人口入力シート!AX$7))</f>
        <v>45.914385917884026</v>
      </c>
      <c r="BX18" s="9">
        <f>IF(管理者入力シート!$B$14=1,BW15*管理者用人口入力シート!AY$3,IF(管理者入力シート!$B$14=2,BW15*管理者用人口入力シート!AY$7))</f>
        <v>90.627519656599631</v>
      </c>
      <c r="BY18" s="9">
        <f>IF(管理者入力シート!$B$14=1,BX15*管理者用人口入力シート!AZ$3,IF(管理者入力シート!$B$14=2,BX15*管理者用人口入力シート!AZ$7))</f>
        <v>74.44500064611357</v>
      </c>
      <c r="BZ18" s="9">
        <f>IF(管理者入力シート!$B$14=1,BY15*管理者用人口入力シート!BA$3,IF(管理者入力シート!$B$14=2,BY15*管理者用人口入力シート!BA$7))</f>
        <v>74.292257626152605</v>
      </c>
      <c r="CA18" s="9">
        <f>IF(管理者入力シート!$B$14=1,BZ15*管理者用人口入力シート!BB$3,IF(管理者入力シート!$B$14=2,BZ15*管理者用人口入力シート!BB$7))</f>
        <v>53.080097000395966</v>
      </c>
      <c r="CB18" s="9">
        <f>IF(管理者入力シート!$B$14=1,CA15*管理者用人口入力シート!BC$3,IF(管理者入力シート!$B$14=2,CA15*管理者用人口入力シート!BC$7))</f>
        <v>39.750774498086699</v>
      </c>
      <c r="CC18" s="9">
        <f>IF(管理者入力シート!$B$14=1,CB15*管理者用人口入力シート!BD$3,IF(管理者入力シート!$B$14=2,CB15*管理者用人口入力シート!BD$7))</f>
        <v>19.303486970567928</v>
      </c>
      <c r="CD18" s="9">
        <f>IF(管理者入力シート!$B$14=1,CC15*管理者用人口入力シート!BE$3,IF(管理者入力シート!$B$14=2,CC15*管理者用人口入力シート!BE$7))</f>
        <v>3.3984661374830907</v>
      </c>
      <c r="CE18" s="9">
        <f>IF(管理者入力シート!$B$14=1,CD15*管理者用人口入力シート!BF$3,IF(管理者入力シート!$B$14=2,CD15*管理者用人口入力シート!BF$7))</f>
        <v>6.6225406504916373E-2</v>
      </c>
      <c r="CF18" s="9">
        <f t="shared" si="251"/>
        <v>694.63980120743997</v>
      </c>
      <c r="CG18" s="9">
        <f t="shared" si="252"/>
        <v>32.231620344527023</v>
      </c>
      <c r="CH18" s="9">
        <f t="shared" si="253"/>
        <v>17.601799504565214</v>
      </c>
      <c r="CI18" s="9">
        <f t="shared" si="254"/>
        <v>354.96382794190441</v>
      </c>
      <c r="CJ18" s="9">
        <f t="shared" si="255"/>
        <v>189.89130763919121</v>
      </c>
      <c r="CK18" s="13">
        <f t="shared" si="256"/>
        <v>0.51100415974566615</v>
      </c>
      <c r="CL18" s="13">
        <f t="shared" si="257"/>
        <v>0.27336658122543145</v>
      </c>
      <c r="CM18" s="9">
        <f t="shared" si="258"/>
        <v>71.935812755758278</v>
      </c>
      <c r="CO18" s="7" t="str">
        <f t="shared" si="26"/>
        <v>2050_1</v>
      </c>
      <c r="CP18" s="28">
        <f>管理者入力シート!B13</f>
        <v>2050</v>
      </c>
      <c r="CQ18" s="3" t="s">
        <v>21</v>
      </c>
      <c r="CR18" s="9">
        <f>DT19*$AK$13+将来予測シート②!$G17</f>
        <v>19.451537732862594</v>
      </c>
      <c r="CS18" s="9">
        <f>IF(管理者入力シート!$B$14=1,CR15*管理者用人口入力シート!AM$3,IF(管理者入力シート!$B$14=2,CR15*管理者用人口入力シート!AM$7))+将来予測シート②!$G18</f>
        <v>27.025606303995172</v>
      </c>
      <c r="CT18" s="9">
        <f>IF(管理者入力シート!$B$14=1,CS15*管理者用人口入力シート!AN$3,IF(管理者入力シート!$B$14=2,CS15*管理者用人口入力シート!AN$7))+将来予測シート②!$G19</f>
        <v>33.762884442096862</v>
      </c>
      <c r="CU18" s="9">
        <f>IF(管理者入力シート!$B$14=1,CT15*管理者用人口入力シート!AO$3,IF(管理者入力シート!$B$14=2,CT15*管理者用人口入力シート!AO$7))+将来予測シート②!$G20</f>
        <v>31.251300022563459</v>
      </c>
      <c r="CV18" s="9">
        <f>IF(管理者入力シート!$B$14=1,CU15*管理者用人口入力シート!AP$3,IF(管理者入力シート!$B$14=2,CU15*管理者用人口入力シート!AP$7))+将来予測シート②!$G21</f>
        <v>18.480690354091244</v>
      </c>
      <c r="CW18" s="9">
        <f>IF(管理者入力シート!$B$14=1,CV15*管理者用人口入力シート!AQ$3,IF(管理者入力シート!$B$14=2,CV15*管理者用人口入力シート!AQ$7))+将来予測シート②!$G22</f>
        <v>20.322339098808897</v>
      </c>
      <c r="CX18" s="9">
        <f>IF(管理者入力シート!$B$14=1,CW15*管理者用人口入力シート!AR$3,IF(管理者入力シート!$B$14=2,CW15*管理者用人口入力シート!AR$7))+将来予測シート②!$G23</f>
        <v>22.090287758456107</v>
      </c>
      <c r="CY18" s="9">
        <f>IF(管理者入力シート!$B$14=1,CX15*管理者用人口入力シート!AS$3,IF(管理者入力シート!$B$14=2,CX15*管理者用人口入力シート!AS$7))+将来予測シート②!$G24</f>
        <v>18.953028674508303</v>
      </c>
      <c r="CZ18" s="9">
        <f>IF(管理者入力シート!$B$14=1,CY15*管理者用人口入力シート!AT$3,IF(管理者入力シート!$B$14=2,CY15*管理者用人口入力シート!AT$7))+将来予測シート②!$G25</f>
        <v>26.508465837331165</v>
      </c>
      <c r="DA18" s="9">
        <f>IF(管理者入力シート!$B$14=1,CZ15*管理者用人口入力シート!AU$3,IF(管理者入力シート!$B$14=2,CZ15*管理者用人口入力シート!AU$7))+将来予測シート②!$G26</f>
        <v>30.900726193939192</v>
      </c>
      <c r="DB18" s="9">
        <f>IF(管理者入力シート!$B$14=1,DA15*管理者用人口入力シート!AV$3,IF(管理者入力シート!$B$14=2,DA15*管理者用人口入力シート!AV$7))+将来予測シート②!$G27</f>
        <v>30.514331912169038</v>
      </c>
      <c r="DC18" s="9">
        <f>IF(管理者入力シート!$B$14=1,DB15*管理者用人口入力シート!AW$3,IF(管理者入力シート!$B$14=2,DB15*管理者用人口入力シート!AW$7))+将来予測シート②!$G28</f>
        <v>40.418086471959903</v>
      </c>
      <c r="DD18" s="9">
        <f>IF(管理者入力シート!$B$14=1,DC15*管理者用人口入力シート!AX$3,IF(管理者入力シート!$B$14=2,DC15*管理者用人口入力シート!AX$7))+将来予測シート②!$G29</f>
        <v>45.914385917884026</v>
      </c>
      <c r="DE18" s="9">
        <f>IF(管理者入力シート!$B$14=1,DD15*管理者用人口入力シート!AY$3,IF(管理者入力シート!$B$14=2,DD15*管理者用人口入力シート!AY$7))</f>
        <v>90.627519656599631</v>
      </c>
      <c r="DF18" s="9">
        <f>IF(管理者入力シート!$B$14=1,DE15*管理者用人口入力シート!AZ$3,IF(管理者入力シート!$B$14=2,DE15*管理者用人口入力シート!AZ$7))</f>
        <v>74.44500064611357</v>
      </c>
      <c r="DG18" s="9">
        <f>IF(管理者入力シート!$B$14=1,DF15*管理者用人口入力シート!BA$3,IF(管理者入力シート!$B$14=2,DF15*管理者用人口入力シート!BA$7))</f>
        <v>74.292257626152605</v>
      </c>
      <c r="DH18" s="9">
        <f>IF(管理者入力シート!$B$14=1,DG15*管理者用人口入力シート!BB$3,IF(管理者入力シート!$B$14=2,DG15*管理者用人口入力シート!BB$7))</f>
        <v>53.080097000395966</v>
      </c>
      <c r="DI18" s="9">
        <f>IF(管理者入力シート!$B$14=1,DH15*管理者用人口入力シート!BC$3,IF(管理者入力シート!$B$14=2,DH15*管理者用人口入力シート!BC$7))</f>
        <v>39.750774498086699</v>
      </c>
      <c r="DJ18" s="9">
        <f>IF(管理者入力シート!$B$14=1,DI15*管理者用人口入力シート!BD$3,IF(管理者入力シート!$B$14=2,DI15*管理者用人口入力シート!BD$7))</f>
        <v>19.303486970567928</v>
      </c>
      <c r="DK18" s="9">
        <f>IF(管理者入力シート!$B$14=1,DJ15*管理者用人口入力シート!BE$3,IF(管理者入力シート!$B$14=2,DJ15*管理者用人口入力シート!BE$7))</f>
        <v>3.3984661374830907</v>
      </c>
      <c r="DL18" s="9">
        <f>IF(管理者入力シート!$B$14=1,DK15*管理者用人口入力シート!BF$3,IF(管理者入力シート!$B$14=2,DK15*管理者用人口入力シート!BF$7))</f>
        <v>6.6225406504916373E-2</v>
      </c>
      <c r="DM18" s="9">
        <f t="shared" si="259"/>
        <v>720.55749866257042</v>
      </c>
      <c r="DN18" s="9">
        <f t="shared" si="260"/>
        <v>36.473094447655214</v>
      </c>
      <c r="DO18" s="9">
        <f t="shared" si="261"/>
        <v>19.755413781351436</v>
      </c>
      <c r="DP18" s="9">
        <f t="shared" si="262"/>
        <v>354.96382794190441</v>
      </c>
      <c r="DQ18" s="9">
        <f t="shared" si="263"/>
        <v>189.89130763919121</v>
      </c>
      <c r="DR18" s="13">
        <f t="shared" si="264"/>
        <v>0.49262387609698621</v>
      </c>
      <c r="DS18" s="13">
        <f t="shared" si="265"/>
        <v>0.26353387202499345</v>
      </c>
      <c r="DT18" s="9">
        <f t="shared" si="266"/>
        <v>79.846345885864551</v>
      </c>
      <c r="DX18" s="308">
        <f>DX1</f>
        <v>50</v>
      </c>
      <c r="DY18" s="309"/>
      <c r="DZ18" s="312" t="s">
        <v>0</v>
      </c>
      <c r="EA18" s="312" t="s">
        <v>1</v>
      </c>
      <c r="EB18" s="312" t="s">
        <v>2</v>
      </c>
      <c r="EC18" s="312" t="s">
        <v>3</v>
      </c>
      <c r="ED18" s="312" t="s">
        <v>4</v>
      </c>
      <c r="EE18" s="312" t="s">
        <v>5</v>
      </c>
      <c r="EF18" s="312" t="s">
        <v>6</v>
      </c>
      <c r="EG18" s="312" t="s">
        <v>7</v>
      </c>
      <c r="EH18" s="312" t="s">
        <v>8</v>
      </c>
      <c r="EI18" s="312" t="s">
        <v>9</v>
      </c>
      <c r="EJ18" s="312" t="s">
        <v>10</v>
      </c>
      <c r="EK18" s="312" t="s">
        <v>11</v>
      </c>
      <c r="EL18" s="312" t="s">
        <v>12</v>
      </c>
      <c r="EM18" s="312" t="s">
        <v>13</v>
      </c>
      <c r="EN18" s="312" t="s">
        <v>14</v>
      </c>
      <c r="EO18" s="312" t="s">
        <v>15</v>
      </c>
      <c r="EP18" s="312" t="s">
        <v>16</v>
      </c>
      <c r="EQ18" s="312" t="s">
        <v>17</v>
      </c>
      <c r="ER18" s="312" t="s">
        <v>18</v>
      </c>
      <c r="ES18" s="312" t="s">
        <v>19</v>
      </c>
      <c r="ET18" s="312" t="s">
        <v>20</v>
      </c>
      <c r="EU18" s="312" t="s">
        <v>23</v>
      </c>
      <c r="EV18" s="313" t="s">
        <v>50</v>
      </c>
      <c r="EW18" s="313" t="s">
        <v>51</v>
      </c>
      <c r="EX18" s="314" t="s">
        <v>79</v>
      </c>
      <c r="EY18" s="314" t="s">
        <v>80</v>
      </c>
      <c r="EZ18" s="313" t="s">
        <v>48</v>
      </c>
      <c r="FA18" s="313" t="s">
        <v>49</v>
      </c>
      <c r="FB18" s="313" t="s">
        <v>97</v>
      </c>
    </row>
    <row r="19" spans="1:158" x14ac:dyDescent="0.15">
      <c r="A19" s="7" t="str">
        <f t="shared" si="269"/>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14.340861662918412</v>
      </c>
      <c r="BL19" s="10">
        <f>IF(管理者入力シート!$B$14=1,BK16*管理者用人口入力シート!AM$4,IF(管理者入力シート!$B$14=2,BK16*管理者用人口入力シート!AM$8))</f>
        <v>17.018466606518988</v>
      </c>
      <c r="BM19" s="10">
        <f>IF(管理者入力シート!$B$14=1,BL16*管理者用人口入力シート!AN$4,IF(管理者入力シート!$B$14=2,BL16*管理者用人口入力シート!AN$8))</f>
        <v>21.285358770414263</v>
      </c>
      <c r="BN19" s="10">
        <f>IF(管理者入力シート!$B$14=1,BM16*管理者用人口入力シート!AO$4,IF(管理者入力シート!$B$14=2,BM16*管理者用人口入力シート!AO$8))</f>
        <v>21.885294276863839</v>
      </c>
      <c r="BO19" s="10">
        <f>IF(管理者入力シート!$B$14=1,BN16*管理者用人口入力シート!AP$4,IF(管理者入力シート!$B$14=2,BN16*管理者用人口入力シート!AP$8))</f>
        <v>13.929168696596992</v>
      </c>
      <c r="BP19" s="10">
        <f>IF(管理者入力シート!$B$14=1,BO16*管理者用人口入力シート!AQ$4,IF(管理者入力シート!$B$14=2,BO16*管理者用人口入力シート!AQ$8))</f>
        <v>15.080541644403821</v>
      </c>
      <c r="BQ19" s="10">
        <f>IF(管理者入力シート!$B$14=1,BP16*管理者用人口入力シート!AR$4,IF(管理者入力シート!$B$14=2,BP16*管理者用人口入力シート!AR$8))</f>
        <v>15.877625931641422</v>
      </c>
      <c r="BR19" s="10">
        <f>IF(管理者入力シート!$B$14=1,BQ16*管理者用人口入力シート!AS$4,IF(管理者入力シート!$B$14=2,BQ16*管理者用人口入力シート!AS$8))</f>
        <v>19.955430688711854</v>
      </c>
      <c r="BS19" s="10">
        <f>IF(管理者入力シート!$B$14=1,BR16*管理者用人口入力シート!AT$4,IF(管理者入力シート!$B$14=2,BR16*管理者用人口入力シート!AT$8))</f>
        <v>23.938481944971841</v>
      </c>
      <c r="BT19" s="10">
        <f>IF(管理者入力シート!$B$14=1,BS16*管理者用人口入力シート!AU$4,IF(管理者入力シート!$B$14=2,BS16*管理者用人口入力シート!AU$8))</f>
        <v>30.261456602634716</v>
      </c>
      <c r="BU19" s="10">
        <f>IF(管理者入力シート!$B$14=1,BT16*管理者用人口入力シート!AV$4,IF(管理者入力シート!$B$14=2,BT16*管理者用人口入力シート!AV$8))</f>
        <v>31.302737615800762</v>
      </c>
      <c r="BV19" s="10">
        <f>IF(管理者入力シート!$B$14=1,BU16*管理者用人口入力シート!AW$4,IF(管理者入力シート!$B$14=2,BU16*管理者用人口入力シート!AW$8))</f>
        <v>35.365673171692734</v>
      </c>
      <c r="BW19" s="10">
        <f>IF(管理者入力シート!$B$14=1,BV16*管理者用人口入力シート!AX$4,IF(管理者入力シート!$B$14=2,BV16*管理者用人口入力シート!AX$8))</f>
        <v>49.746260420681118</v>
      </c>
      <c r="BX19" s="10">
        <f>IF(管理者入力シート!$B$14=1,BW16*管理者用人口入力シート!AY$4,IF(管理者入力シート!$B$14=2,BW16*管理者用人口入力シート!AY$8))</f>
        <v>70.406393747071945</v>
      </c>
      <c r="BY19" s="10">
        <f>IF(管理者入力シート!$B$14=1,BX16*管理者用人口入力シート!AZ$4,IF(管理者入力シート!$B$14=2,BX16*管理者用人口入力シート!AZ$8))</f>
        <v>78.943870069747803</v>
      </c>
      <c r="BZ19" s="10">
        <f>IF(管理者入力シート!$B$14=1,BY16*管理者用人口入力シート!BA$4,IF(管理者入力シート!$B$14=2,BY16*管理者用人口入力シート!BA$8))</f>
        <v>85.413827272643388</v>
      </c>
      <c r="CA19" s="10">
        <f>IF(管理者入力シート!$B$14=1,BZ16*管理者用人口入力シート!BB$4,IF(管理者入力シート!$B$14=2,BZ16*管理者用人口入力シート!BB$8))</f>
        <v>73.861675704740051</v>
      </c>
      <c r="CB19" s="10">
        <f>IF(管理者入力シート!$B$14=1,CA16*管理者用人口入力シート!BC$4,IF(管理者入力シート!$B$14=2,CA16*管理者用人口入力シート!BC$8))</f>
        <v>71.452273278671512</v>
      </c>
      <c r="CC19" s="10">
        <f>IF(管理者入力シート!$B$14=1,CB16*管理者用人口入力シート!BD$4,IF(管理者入力シート!$B$14=2,CB16*管理者用人口入力シート!BD$8))</f>
        <v>47.875100615116317</v>
      </c>
      <c r="CD19" s="10">
        <f>IF(管理者入力シート!$B$14=1,CC16*管理者用人口入力シート!BE$4,IF(管理者入力シート!$B$14=2,CC16*管理者用人口入力シート!BE$8))</f>
        <v>20.12036369527085</v>
      </c>
      <c r="CE19" s="10">
        <f>IF(管理者入力シート!$B$14=1,CD16*管理者用人口入力シート!BF$4,IF(管理者入力シート!$B$14=2,CD16*管理者用人口入力シート!BF$8))</f>
        <v>2.4305620281065803</v>
      </c>
      <c r="CF19" s="10">
        <f t="shared" si="251"/>
        <v>760.4914244452192</v>
      </c>
      <c r="CG19" s="10">
        <f t="shared" si="252"/>
        <v>22.982295226159948</v>
      </c>
      <c r="CH19" s="10">
        <f t="shared" si="253"/>
        <v>12.891202363538474</v>
      </c>
      <c r="CI19" s="10">
        <f t="shared" si="254"/>
        <v>450.5040664113684</v>
      </c>
      <c r="CJ19" s="10">
        <f t="shared" si="255"/>
        <v>301.15380259454867</v>
      </c>
      <c r="CK19" s="14">
        <f t="shared" si="256"/>
        <v>0.59238546541141146</v>
      </c>
      <c r="CL19" s="14">
        <f t="shared" si="257"/>
        <v>0.39599894609494285</v>
      </c>
      <c r="CM19" s="10">
        <f t="shared" si="258"/>
        <v>64.842766961354087</v>
      </c>
      <c r="CO19" s="7" t="str">
        <f t="shared" si="26"/>
        <v>2050_2</v>
      </c>
      <c r="CP19" s="29">
        <f>CP18</f>
        <v>2050</v>
      </c>
      <c r="CQ19" s="4" t="s">
        <v>22</v>
      </c>
      <c r="CR19" s="10">
        <f>DT19*$AK$14+将来予測シート②!$H17</f>
        <v>17.078309383676615</v>
      </c>
      <c r="CS19" s="10">
        <f>IF(管理者入力シート!$B$14=1,CR16*管理者用人口入力シート!AM$4,IF(管理者入力シート!$B$14=2,CR16*管理者用人口入力シート!AM$8))+将来予測シート②!$H18</f>
        <v>19.398812541898341</v>
      </c>
      <c r="CT19" s="10">
        <f>IF(管理者入力シート!$B$14=1,CS16*管理者用人口入力シート!AN$4,IF(管理者入力シート!$B$14=2,CS16*管理者用人口入力シート!AN$8))+将来予測シート②!$H19</f>
        <v>24.474801114108121</v>
      </c>
      <c r="CU19" s="10">
        <f>IF(管理者入力シート!$B$14=1,CT16*管理者用人口入力シート!AO$4,IF(管理者入力シート!$B$14=2,CT16*管理者用人口入力シート!AO$8))+将来予測シート②!$H20</f>
        <v>24.522613157768266</v>
      </c>
      <c r="CV19" s="10">
        <f>IF(管理者入力シート!$B$14=1,CU16*管理者用人口入力シート!AP$4,IF(管理者入力シート!$B$14=2,CU16*管理者用人口入力シート!AP$8))+将来予測シート②!$H21</f>
        <v>15.152198710780553</v>
      </c>
      <c r="CW19" s="10">
        <f>IF(管理者入力シート!$B$14=1,CV16*管理者用人口入力シート!AQ$4,IF(管理者入力シート!$B$14=2,CV16*管理者用人口入力シート!AQ$8))+将来予測シート②!$H22</f>
        <v>17.847208942464022</v>
      </c>
      <c r="CX19" s="10">
        <f>IF(管理者入力シート!$B$14=1,CW16*管理者用人口入力シート!AR$4,IF(管理者入力シート!$B$14=2,CW16*管理者用人口入力シート!AR$8))+将来予測シート②!$H23</f>
        <v>17.847894244063621</v>
      </c>
      <c r="CY19" s="10">
        <f>IF(管理者入力シート!$B$14=1,CX16*管理者用人口入力シート!AS$4,IF(管理者入力シート!$B$14=2,CX16*管理者用人口入力シート!AS$8))+将来予測シート②!$H24</f>
        <v>21.851402894892608</v>
      </c>
      <c r="CZ19" s="10">
        <f>IF(管理者入力シート!$B$14=1,CY16*管理者用人口入力シート!AT$4,IF(管理者入力シート!$B$14=2,CY16*管理者用人口入力シート!AT$8))+将来予測シート②!$H25</f>
        <v>26.530818291570963</v>
      </c>
      <c r="DA19" s="10">
        <f>IF(管理者入力シート!$B$14=1,CZ16*管理者用人口入力シート!AU$4,IF(管理者入力シート!$B$14=2,CZ16*管理者用人口入力シート!AU$8))+将来予測シート②!$H26</f>
        <v>32.781747153144543</v>
      </c>
      <c r="DB19" s="10">
        <f>IF(管理者入力シート!$B$14=1,DA16*管理者用人口入力シート!AV$4,IF(管理者入力シート!$B$14=2,DA16*管理者用人口入力シート!AV$8))+将来予測シート②!$H27</f>
        <v>33.697475972543913</v>
      </c>
      <c r="DC19" s="10">
        <f>IF(管理者入力シート!$B$14=1,DB16*管理者用人口入力シート!AW$4,IF(管理者入力シート!$B$14=2,DB16*管理者用人口入力シート!AW$8))+将来予測シート②!$H28</f>
        <v>36.254787014353226</v>
      </c>
      <c r="DD19" s="10">
        <f>IF(管理者入力シート!$B$14=1,DC16*管理者用人口入力シート!AX$4,IF(管理者入力シート!$B$14=2,DC16*管理者用人口入力シート!AX$8))+将来予測シート②!$H29</f>
        <v>50.634702083374563</v>
      </c>
      <c r="DE19" s="10">
        <f>IF(管理者入力シート!$B$14=1,DD16*管理者用人口入力シート!AY$4,IF(管理者入力シート!$B$14=2,DD16*管理者用人口入力シート!AY$8))</f>
        <v>71.289871011594315</v>
      </c>
      <c r="DF19" s="10">
        <f>IF(管理者入力シート!$B$14=1,DE16*管理者用人口入力シート!AZ$4,IF(管理者入力シート!$B$14=2,DE16*管理者用人口入力シート!AZ$8))</f>
        <v>78.943870069747803</v>
      </c>
      <c r="DG19" s="10">
        <f>IF(管理者入力シート!$B$14=1,DF16*管理者用人口入力シート!BA$4,IF(管理者入力シート!$B$14=2,DF16*管理者用人口入力シート!BA$8))</f>
        <v>85.413827272643388</v>
      </c>
      <c r="DH19" s="10">
        <f>IF(管理者入力シート!$B$14=1,DG16*管理者用人口入力シート!BB$4,IF(管理者入力シート!$B$14=2,DG16*管理者用人口入力シート!BB$8))</f>
        <v>73.861675704740051</v>
      </c>
      <c r="DI19" s="10">
        <f>IF(管理者入力シート!$B$14=1,DH16*管理者用人口入力シート!BC$4,IF(管理者入力シート!$B$14=2,DH16*管理者用人口入力シート!BC$8))</f>
        <v>71.452273278671512</v>
      </c>
      <c r="DJ19" s="10">
        <f>IF(管理者入力シート!$B$14=1,DI16*管理者用人口入力シート!BD$4,IF(管理者入力シート!$B$14=2,DI16*管理者用人口入力シート!BD$8))</f>
        <v>47.875100615116317</v>
      </c>
      <c r="DK19" s="10">
        <f>IF(管理者入力シート!$B$14=1,DJ16*管理者用人口入力シート!BE$4,IF(管理者入力シート!$B$14=2,DJ16*管理者用人口入力シート!BE$8))</f>
        <v>20.12036369527085</v>
      </c>
      <c r="DL19" s="10">
        <f>IF(管理者入力シート!$B$14=1,DK16*管理者用人口入力シート!BF$4,IF(管理者入力シート!$B$14=2,DK16*管理者用人口入力シート!BF$8))</f>
        <v>2.4305620281065803</v>
      </c>
      <c r="DM19" s="10">
        <f t="shared" si="259"/>
        <v>789.46031518053019</v>
      </c>
      <c r="DN19" s="10">
        <f t="shared" si="260"/>
        <v>26.324168193603882</v>
      </c>
      <c r="DO19" s="10">
        <f t="shared" si="261"/>
        <v>14.694443077196901</v>
      </c>
      <c r="DP19" s="10">
        <f t="shared" si="262"/>
        <v>451.38754367589075</v>
      </c>
      <c r="DQ19" s="10">
        <f t="shared" si="263"/>
        <v>301.15380259454867</v>
      </c>
      <c r="DR19" s="14">
        <f t="shared" si="264"/>
        <v>0.57176723768904014</v>
      </c>
      <c r="DS19" s="14">
        <f t="shared" si="265"/>
        <v>0.38146794310450194</v>
      </c>
      <c r="DT19" s="10">
        <f t="shared" si="266"/>
        <v>72.6987047922008</v>
      </c>
      <c r="DX19" s="310"/>
      <c r="DY19" s="311"/>
      <c r="DZ19" s="312"/>
      <c r="EA19" s="312"/>
      <c r="EB19" s="312"/>
      <c r="EC19" s="312"/>
      <c r="ED19" s="312"/>
      <c r="EE19" s="312"/>
      <c r="EF19" s="312"/>
      <c r="EG19" s="312"/>
      <c r="EH19" s="312"/>
      <c r="EI19" s="312"/>
      <c r="EJ19" s="312"/>
      <c r="EK19" s="312"/>
      <c r="EL19" s="312"/>
      <c r="EM19" s="312"/>
      <c r="EN19" s="312"/>
      <c r="EO19" s="312"/>
      <c r="EP19" s="312"/>
      <c r="EQ19" s="312"/>
      <c r="ER19" s="312"/>
      <c r="ES19" s="312"/>
      <c r="ET19" s="312"/>
      <c r="EU19" s="312"/>
      <c r="EV19" s="313"/>
      <c r="EW19" s="313"/>
      <c r="EX19" s="315"/>
      <c r="EY19" s="315"/>
      <c r="EZ19" s="313"/>
      <c r="FA19" s="313"/>
      <c r="FB19" s="313"/>
    </row>
    <row r="20" spans="1:158" x14ac:dyDescent="0.15">
      <c r="A20" s="7" t="str">
        <f t="shared" si="269"/>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0"/>
        <v>0</v>
      </c>
      <c r="AA20" s="11">
        <f t="shared" si="271"/>
        <v>0</v>
      </c>
      <c r="AB20" s="11">
        <f t="shared" si="0"/>
        <v>0</v>
      </c>
      <c r="AC20" s="11">
        <f t="shared" si="272"/>
        <v>0</v>
      </c>
      <c r="AD20" s="15" t="e">
        <f t="shared" si="273"/>
        <v>#DIV/0!</v>
      </c>
      <c r="AE20" s="15" t="e">
        <f t="shared" si="274"/>
        <v>#DIV/0!</v>
      </c>
      <c r="AF20" s="11">
        <f t="shared" si="17"/>
        <v>0</v>
      </c>
      <c r="BH20" s="7" t="str">
        <f t="shared" si="19"/>
        <v>2050_3</v>
      </c>
      <c r="BI20" s="30">
        <f>BI19</f>
        <v>2050</v>
      </c>
      <c r="BJ20" s="5" t="s">
        <v>23</v>
      </c>
      <c r="BK20" s="16">
        <f>BK18+BK19</f>
        <v>30.798496839645757</v>
      </c>
      <c r="BL20" s="16">
        <f t="shared" ref="BL20:CE20" si="275">BL18+BL19</f>
        <v>40.877873794457656</v>
      </c>
      <c r="BM20" s="16">
        <f t="shared" si="275"/>
        <v>51.145318823353961</v>
      </c>
      <c r="BN20" s="16">
        <f t="shared" si="275"/>
        <v>50.174371693810507</v>
      </c>
      <c r="BO20" s="16">
        <f t="shared" si="275"/>
        <v>31.128618183900294</v>
      </c>
      <c r="BP20" s="16">
        <f t="shared" si="275"/>
        <v>32.695943359161205</v>
      </c>
      <c r="BQ20" s="16">
        <f t="shared" si="275"/>
        <v>35.899760064477398</v>
      </c>
      <c r="BR20" s="16">
        <f t="shared" si="275"/>
        <v>37.054258109573475</v>
      </c>
      <c r="BS20" s="16">
        <f t="shared" si="275"/>
        <v>48.734708543729433</v>
      </c>
      <c r="BT20" s="16">
        <f t="shared" si="275"/>
        <v>59.470136542385958</v>
      </c>
      <c r="BU20" s="16">
        <f t="shared" si="275"/>
        <v>60.239439362672812</v>
      </c>
      <c r="BV20" s="16">
        <f t="shared" si="275"/>
        <v>75.783759643652644</v>
      </c>
      <c r="BW20" s="16">
        <f t="shared" si="275"/>
        <v>95.660646338565144</v>
      </c>
      <c r="BX20" s="16">
        <f t="shared" si="275"/>
        <v>161.03391340367159</v>
      </c>
      <c r="BY20" s="16">
        <f t="shared" si="275"/>
        <v>153.38887071586137</v>
      </c>
      <c r="BZ20" s="16">
        <f t="shared" si="275"/>
        <v>159.70608489879601</v>
      </c>
      <c r="CA20" s="16">
        <f t="shared" si="275"/>
        <v>126.94177270513602</v>
      </c>
      <c r="CB20" s="16">
        <f t="shared" si="275"/>
        <v>111.20304777675821</v>
      </c>
      <c r="CC20" s="16">
        <f t="shared" si="275"/>
        <v>67.178587585684241</v>
      </c>
      <c r="CD20" s="16">
        <f t="shared" si="275"/>
        <v>23.518829832753941</v>
      </c>
      <c r="CE20" s="16">
        <f t="shared" si="275"/>
        <v>2.4967874346114964</v>
      </c>
      <c r="CF20" s="11">
        <f t="shared" si="251"/>
        <v>1455.1312256526587</v>
      </c>
      <c r="CG20" s="11">
        <f t="shared" si="252"/>
        <v>55.213915570686964</v>
      </c>
      <c r="CH20" s="11">
        <f t="shared" si="253"/>
        <v>30.493001868103686</v>
      </c>
      <c r="CI20" s="11">
        <f t="shared" si="254"/>
        <v>805.46789435327287</v>
      </c>
      <c r="CJ20" s="11">
        <f t="shared" si="255"/>
        <v>491.04511023373999</v>
      </c>
      <c r="CK20" s="15">
        <f t="shared" si="256"/>
        <v>0.55353625855427757</v>
      </c>
      <c r="CL20" s="15">
        <f t="shared" si="257"/>
        <v>0.33745761315340844</v>
      </c>
      <c r="CM20" s="11">
        <f t="shared" si="258"/>
        <v>136.77857971711236</v>
      </c>
      <c r="CO20" s="7" t="str">
        <f t="shared" si="26"/>
        <v>2050_3</v>
      </c>
      <c r="CP20" s="30">
        <f>CP19</f>
        <v>2050</v>
      </c>
      <c r="CQ20" s="5" t="s">
        <v>23</v>
      </c>
      <c r="CR20" s="16">
        <f>CR18+CR19</f>
        <v>36.529847116539209</v>
      </c>
      <c r="CS20" s="16">
        <f t="shared" ref="CS20:DL20" si="276">CS18+CS19</f>
        <v>46.424418845893513</v>
      </c>
      <c r="CT20" s="16">
        <f t="shared" si="276"/>
        <v>58.23768555620498</v>
      </c>
      <c r="CU20" s="16">
        <f t="shared" si="276"/>
        <v>55.773913180331725</v>
      </c>
      <c r="CV20" s="16">
        <f t="shared" si="276"/>
        <v>33.632889064871797</v>
      </c>
      <c r="CW20" s="16">
        <f t="shared" si="276"/>
        <v>38.169548041272918</v>
      </c>
      <c r="CX20" s="16">
        <f t="shared" si="276"/>
        <v>39.938182002519724</v>
      </c>
      <c r="CY20" s="16">
        <f t="shared" si="276"/>
        <v>40.804431569400911</v>
      </c>
      <c r="CZ20" s="16">
        <f t="shared" si="276"/>
        <v>53.039284128902125</v>
      </c>
      <c r="DA20" s="16">
        <f t="shared" si="276"/>
        <v>63.682473347083736</v>
      </c>
      <c r="DB20" s="16">
        <f t="shared" si="276"/>
        <v>64.211807884712954</v>
      </c>
      <c r="DC20" s="16">
        <f t="shared" si="276"/>
        <v>76.672873486313136</v>
      </c>
      <c r="DD20" s="16">
        <f t="shared" si="276"/>
        <v>96.549088001258582</v>
      </c>
      <c r="DE20" s="16">
        <f t="shared" si="276"/>
        <v>161.91739066819395</v>
      </c>
      <c r="DF20" s="16">
        <f t="shared" si="276"/>
        <v>153.38887071586137</v>
      </c>
      <c r="DG20" s="16">
        <f t="shared" si="276"/>
        <v>159.70608489879601</v>
      </c>
      <c r="DH20" s="16">
        <f t="shared" si="276"/>
        <v>126.94177270513602</v>
      </c>
      <c r="DI20" s="16">
        <f t="shared" si="276"/>
        <v>111.20304777675821</v>
      </c>
      <c r="DJ20" s="16">
        <f t="shared" si="276"/>
        <v>67.178587585684241</v>
      </c>
      <c r="DK20" s="16">
        <f t="shared" si="276"/>
        <v>23.518829832753941</v>
      </c>
      <c r="DL20" s="16">
        <f t="shared" si="276"/>
        <v>2.4967874346114964</v>
      </c>
      <c r="DM20" s="11">
        <f t="shared" si="259"/>
        <v>1510.0178138431004</v>
      </c>
      <c r="DN20" s="11">
        <f t="shared" si="260"/>
        <v>62.797262641259096</v>
      </c>
      <c r="DO20" s="11">
        <f t="shared" si="261"/>
        <v>34.449856858548337</v>
      </c>
      <c r="DP20" s="11">
        <f t="shared" si="262"/>
        <v>806.35137161779528</v>
      </c>
      <c r="DQ20" s="11">
        <f t="shared" si="263"/>
        <v>491.04511023373999</v>
      </c>
      <c r="DR20" s="15">
        <f t="shared" si="264"/>
        <v>0.53400123112824405</v>
      </c>
      <c r="DS20" s="15">
        <f t="shared" si="265"/>
        <v>0.32519160087522148</v>
      </c>
      <c r="DT20" s="11">
        <f t="shared" si="266"/>
        <v>152.54505067806534</v>
      </c>
      <c r="DX20" s="28">
        <f>DX3</f>
        <v>2025</v>
      </c>
      <c r="DY20" s="3" t="s">
        <v>21</v>
      </c>
      <c r="DZ20" s="9">
        <f t="shared" ref="DZ20:ET20" si="277">ROUND(DZ3,0)</f>
        <v>47</v>
      </c>
      <c r="EA20" s="9">
        <f t="shared" si="277"/>
        <v>69</v>
      </c>
      <c r="EB20" s="9">
        <f t="shared" si="277"/>
        <v>65</v>
      </c>
      <c r="EC20" s="9">
        <f t="shared" si="277"/>
        <v>69</v>
      </c>
      <c r="ED20" s="9">
        <f t="shared" si="277"/>
        <v>42</v>
      </c>
      <c r="EE20" s="9">
        <f t="shared" si="277"/>
        <v>87</v>
      </c>
      <c r="EF20" s="9">
        <f t="shared" si="277"/>
        <v>96</v>
      </c>
      <c r="EG20" s="9">
        <f t="shared" si="277"/>
        <v>98</v>
      </c>
      <c r="EH20" s="9">
        <f t="shared" si="277"/>
        <v>105</v>
      </c>
      <c r="EI20" s="9">
        <f t="shared" si="277"/>
        <v>92</v>
      </c>
      <c r="EJ20" s="9">
        <f t="shared" si="277"/>
        <v>101</v>
      </c>
      <c r="EK20" s="9">
        <f t="shared" si="277"/>
        <v>93</v>
      </c>
      <c r="EL20" s="9">
        <f t="shared" si="277"/>
        <v>126</v>
      </c>
      <c r="EM20" s="9">
        <f t="shared" si="277"/>
        <v>150</v>
      </c>
      <c r="EN20" s="9">
        <f t="shared" si="277"/>
        <v>186</v>
      </c>
      <c r="EO20" s="9">
        <f t="shared" si="277"/>
        <v>165</v>
      </c>
      <c r="EP20" s="9">
        <f t="shared" si="277"/>
        <v>97</v>
      </c>
      <c r="EQ20" s="9">
        <f t="shared" si="277"/>
        <v>54</v>
      </c>
      <c r="ER20" s="9">
        <f t="shared" si="277"/>
        <v>23</v>
      </c>
      <c r="ES20" s="9">
        <f t="shared" si="277"/>
        <v>4</v>
      </c>
      <c r="ET20" s="9">
        <f t="shared" si="277"/>
        <v>0</v>
      </c>
      <c r="EU20" s="9">
        <f t="shared" ref="EU20:EU21" si="278">SUM(DZ20:ET20)</f>
        <v>1769</v>
      </c>
      <c r="EV20" s="9">
        <f>EA20*3/5+EB20*3/5</f>
        <v>80.400000000000006</v>
      </c>
      <c r="EW20" s="9">
        <f>EB20*2/5+EC20*1/5</f>
        <v>39.799999999999997</v>
      </c>
      <c r="EX20" s="9">
        <f t="shared" ref="EX20:EX31" si="279">SUM(EM20:ET20)</f>
        <v>679</v>
      </c>
      <c r="EY20" s="9">
        <f>SUM(EO20:ET20)</f>
        <v>343</v>
      </c>
      <c r="EZ20" s="13">
        <f>EX20/EU20</f>
        <v>0.38383267382702091</v>
      </c>
      <c r="FA20" s="13">
        <f>EY20/EU20</f>
        <v>0.19389485585076313</v>
      </c>
      <c r="FB20" s="9">
        <f>SUM(ED20:EG20)</f>
        <v>323</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0">ROUND(DZ4,0)</f>
        <v>41</v>
      </c>
      <c r="EA21" s="10">
        <f t="shared" si="280"/>
        <v>49</v>
      </c>
      <c r="EB21" s="10">
        <f t="shared" si="280"/>
        <v>64</v>
      </c>
      <c r="EC21" s="10">
        <f t="shared" si="280"/>
        <v>64</v>
      </c>
      <c r="ED21" s="10">
        <f t="shared" si="280"/>
        <v>45</v>
      </c>
      <c r="EE21" s="10">
        <f t="shared" si="280"/>
        <v>93</v>
      </c>
      <c r="EF21" s="10">
        <f t="shared" si="280"/>
        <v>91</v>
      </c>
      <c r="EG21" s="10">
        <f t="shared" si="280"/>
        <v>106</v>
      </c>
      <c r="EH21" s="10">
        <f t="shared" si="280"/>
        <v>80</v>
      </c>
      <c r="EI21" s="10">
        <f t="shared" si="280"/>
        <v>91</v>
      </c>
      <c r="EJ21" s="10">
        <f t="shared" si="280"/>
        <v>101</v>
      </c>
      <c r="EK21" s="10">
        <f t="shared" si="280"/>
        <v>107</v>
      </c>
      <c r="EL21" s="10">
        <f t="shared" si="280"/>
        <v>134</v>
      </c>
      <c r="EM21" s="10">
        <f t="shared" si="280"/>
        <v>164</v>
      </c>
      <c r="EN21" s="10">
        <f t="shared" si="280"/>
        <v>187</v>
      </c>
      <c r="EO21" s="10">
        <f t="shared" si="280"/>
        <v>190</v>
      </c>
      <c r="EP21" s="10">
        <f t="shared" si="280"/>
        <v>130</v>
      </c>
      <c r="EQ21" s="10">
        <f t="shared" si="280"/>
        <v>95</v>
      </c>
      <c r="ER21" s="10">
        <f t="shared" si="280"/>
        <v>67</v>
      </c>
      <c r="ES21" s="10">
        <f t="shared" si="280"/>
        <v>28</v>
      </c>
      <c r="ET21" s="10">
        <f t="shared" si="280"/>
        <v>3</v>
      </c>
      <c r="EU21" s="10">
        <f t="shared" si="278"/>
        <v>1930</v>
      </c>
      <c r="EV21" s="10">
        <f t="shared" ref="EV21:EV31" si="281">EA21*3/5+EB21*3/5</f>
        <v>67.8</v>
      </c>
      <c r="EW21" s="10">
        <f t="shared" ref="EW21:EW31" si="282">EB21*2/5+EC21*1/5</f>
        <v>38.400000000000006</v>
      </c>
      <c r="EX21" s="10">
        <f t="shared" si="279"/>
        <v>864</v>
      </c>
      <c r="EY21" s="10">
        <f t="shared" ref="EY21:EY31" si="283">SUM(EO21:ET21)</f>
        <v>513</v>
      </c>
      <c r="EZ21" s="14">
        <f t="shared" ref="EZ21:EZ31" si="284">EX21/EU21</f>
        <v>0.44766839378238343</v>
      </c>
      <c r="FA21" s="14">
        <f t="shared" ref="FA21:FA31" si="285">EY21/EU21</f>
        <v>0.26580310880829017</v>
      </c>
      <c r="FB21" s="10">
        <f>SUM(ED21:EG21)</f>
        <v>335</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88</v>
      </c>
      <c r="EA22" s="16">
        <f t="shared" ref="EA22:ET22" si="286">EA20+EA21</f>
        <v>118</v>
      </c>
      <c r="EB22" s="16">
        <f t="shared" si="286"/>
        <v>129</v>
      </c>
      <c r="EC22" s="16">
        <f t="shared" si="286"/>
        <v>133</v>
      </c>
      <c r="ED22" s="16">
        <f t="shared" si="286"/>
        <v>87</v>
      </c>
      <c r="EE22" s="16">
        <f t="shared" si="286"/>
        <v>180</v>
      </c>
      <c r="EF22" s="16">
        <f t="shared" si="286"/>
        <v>187</v>
      </c>
      <c r="EG22" s="16">
        <f t="shared" si="286"/>
        <v>204</v>
      </c>
      <c r="EH22" s="16">
        <f t="shared" si="286"/>
        <v>185</v>
      </c>
      <c r="EI22" s="16">
        <f t="shared" si="286"/>
        <v>183</v>
      </c>
      <c r="EJ22" s="16">
        <f t="shared" si="286"/>
        <v>202</v>
      </c>
      <c r="EK22" s="16">
        <f t="shared" si="286"/>
        <v>200</v>
      </c>
      <c r="EL22" s="16">
        <f t="shared" si="286"/>
        <v>260</v>
      </c>
      <c r="EM22" s="16">
        <f t="shared" si="286"/>
        <v>314</v>
      </c>
      <c r="EN22" s="16">
        <f t="shared" si="286"/>
        <v>373</v>
      </c>
      <c r="EO22" s="16">
        <f t="shared" si="286"/>
        <v>355</v>
      </c>
      <c r="EP22" s="16">
        <f t="shared" si="286"/>
        <v>227</v>
      </c>
      <c r="EQ22" s="16">
        <f t="shared" si="286"/>
        <v>149</v>
      </c>
      <c r="ER22" s="16">
        <f t="shared" si="286"/>
        <v>90</v>
      </c>
      <c r="ES22" s="16">
        <f t="shared" si="286"/>
        <v>32</v>
      </c>
      <c r="ET22" s="16">
        <f t="shared" si="286"/>
        <v>3</v>
      </c>
      <c r="EU22" s="11">
        <f>SUM(DZ22:ET22)</f>
        <v>3699</v>
      </c>
      <c r="EV22" s="11">
        <f t="shared" si="281"/>
        <v>148.19999999999999</v>
      </c>
      <c r="EW22" s="11">
        <f t="shared" si="282"/>
        <v>78.2</v>
      </c>
      <c r="EX22" s="11">
        <f t="shared" si="279"/>
        <v>1543</v>
      </c>
      <c r="EY22" s="11">
        <f t="shared" si="283"/>
        <v>856</v>
      </c>
      <c r="EZ22" s="15">
        <f t="shared" si="284"/>
        <v>0.41713976750473103</v>
      </c>
      <c r="FA22" s="15">
        <f t="shared" si="285"/>
        <v>0.23141389564747228</v>
      </c>
      <c r="FB22" s="11">
        <f>SUM(ED22:EG22)</f>
        <v>658</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7">ROUND(DZ6,0)</f>
        <v>98</v>
      </c>
      <c r="EA23" s="9">
        <f t="shared" si="287"/>
        <v>54</v>
      </c>
      <c r="EB23" s="9">
        <f t="shared" si="287"/>
        <v>68</v>
      </c>
      <c r="EC23" s="9">
        <f t="shared" si="287"/>
        <v>51</v>
      </c>
      <c r="ED23" s="9">
        <f t="shared" si="287"/>
        <v>35</v>
      </c>
      <c r="EE23" s="9">
        <f t="shared" si="287"/>
        <v>85</v>
      </c>
      <c r="EF23" s="9">
        <f t="shared" si="287"/>
        <v>127</v>
      </c>
      <c r="EG23" s="9">
        <f t="shared" si="287"/>
        <v>136</v>
      </c>
      <c r="EH23" s="9">
        <f t="shared" si="287"/>
        <v>105</v>
      </c>
      <c r="EI23" s="9">
        <f t="shared" si="287"/>
        <v>104</v>
      </c>
      <c r="EJ23" s="9">
        <f t="shared" si="287"/>
        <v>85</v>
      </c>
      <c r="EK23" s="9">
        <f t="shared" si="287"/>
        <v>100</v>
      </c>
      <c r="EL23" s="9">
        <f t="shared" si="287"/>
        <v>90</v>
      </c>
      <c r="EM23" s="9">
        <f t="shared" si="287"/>
        <v>123</v>
      </c>
      <c r="EN23" s="9">
        <f t="shared" si="287"/>
        <v>140</v>
      </c>
      <c r="EO23" s="9">
        <f t="shared" si="287"/>
        <v>158</v>
      </c>
      <c r="EP23" s="9">
        <f t="shared" si="287"/>
        <v>127</v>
      </c>
      <c r="EQ23" s="9">
        <f t="shared" si="287"/>
        <v>52</v>
      </c>
      <c r="ER23" s="9">
        <f t="shared" si="287"/>
        <v>21</v>
      </c>
      <c r="ES23" s="9">
        <f t="shared" si="287"/>
        <v>3</v>
      </c>
      <c r="ET23" s="9">
        <f t="shared" si="287"/>
        <v>0</v>
      </c>
      <c r="EU23" s="9">
        <f t="shared" ref="EU23:EU31" si="288">SUM(DZ23:ET23)</f>
        <v>1762</v>
      </c>
      <c r="EV23" s="9">
        <f t="shared" si="281"/>
        <v>73.199999999999989</v>
      </c>
      <c r="EW23" s="9">
        <f t="shared" si="282"/>
        <v>37.4</v>
      </c>
      <c r="EX23" s="9">
        <f t="shared" si="279"/>
        <v>624</v>
      </c>
      <c r="EY23" s="9">
        <f t="shared" si="283"/>
        <v>361</v>
      </c>
      <c r="EZ23" s="13">
        <f t="shared" si="284"/>
        <v>0.35414301929625425</v>
      </c>
      <c r="FA23" s="13">
        <f t="shared" si="285"/>
        <v>0.20488081725312146</v>
      </c>
      <c r="FB23" s="9">
        <f t="shared" ref="FB23:FB31" si="289">SUM(ED23:EG23)</f>
        <v>383</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0">ROUND(DZ7,0)</f>
        <v>86</v>
      </c>
      <c r="EA24" s="10">
        <f t="shared" si="290"/>
        <v>39</v>
      </c>
      <c r="EB24" s="10">
        <f t="shared" si="290"/>
        <v>49</v>
      </c>
      <c r="EC24" s="10">
        <f t="shared" si="290"/>
        <v>54</v>
      </c>
      <c r="ED24" s="10">
        <f t="shared" si="290"/>
        <v>35</v>
      </c>
      <c r="EE24" s="10">
        <f t="shared" si="290"/>
        <v>89</v>
      </c>
      <c r="EF24" s="10">
        <f t="shared" si="290"/>
        <v>126</v>
      </c>
      <c r="EG24" s="10">
        <f t="shared" si="290"/>
        <v>138</v>
      </c>
      <c r="EH24" s="10">
        <f t="shared" si="290"/>
        <v>106</v>
      </c>
      <c r="EI24" s="10">
        <f t="shared" si="290"/>
        <v>77</v>
      </c>
      <c r="EJ24" s="10">
        <f t="shared" si="290"/>
        <v>87</v>
      </c>
      <c r="EK24" s="10">
        <f t="shared" si="290"/>
        <v>98</v>
      </c>
      <c r="EL24" s="10">
        <f t="shared" si="290"/>
        <v>107</v>
      </c>
      <c r="EM24" s="10">
        <f t="shared" si="290"/>
        <v>133</v>
      </c>
      <c r="EN24" s="10">
        <f t="shared" si="290"/>
        <v>156</v>
      </c>
      <c r="EO24" s="10">
        <f t="shared" si="290"/>
        <v>173</v>
      </c>
      <c r="EP24" s="10">
        <f t="shared" si="290"/>
        <v>149</v>
      </c>
      <c r="EQ24" s="10">
        <f t="shared" si="290"/>
        <v>101</v>
      </c>
      <c r="ER24" s="10">
        <f t="shared" si="290"/>
        <v>52</v>
      </c>
      <c r="ES24" s="10">
        <f t="shared" si="290"/>
        <v>24</v>
      </c>
      <c r="ET24" s="10">
        <f t="shared" si="290"/>
        <v>3</v>
      </c>
      <c r="EU24" s="10">
        <f t="shared" si="288"/>
        <v>1882</v>
      </c>
      <c r="EV24" s="10">
        <f t="shared" si="281"/>
        <v>52.8</v>
      </c>
      <c r="EW24" s="10">
        <f t="shared" si="282"/>
        <v>30.400000000000002</v>
      </c>
      <c r="EX24" s="10">
        <f t="shared" si="279"/>
        <v>791</v>
      </c>
      <c r="EY24" s="10">
        <f t="shared" si="283"/>
        <v>502</v>
      </c>
      <c r="EZ24" s="14">
        <f t="shared" si="284"/>
        <v>0.42029755579171096</v>
      </c>
      <c r="FA24" s="14">
        <f t="shared" si="285"/>
        <v>0.26673751328374068</v>
      </c>
      <c r="FB24" s="10">
        <f t="shared" si="289"/>
        <v>388</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184</v>
      </c>
      <c r="EA25" s="16">
        <f t="shared" ref="EA25:ET25" si="291">EA23+EA24</f>
        <v>93</v>
      </c>
      <c r="EB25" s="16">
        <f t="shared" si="291"/>
        <v>117</v>
      </c>
      <c r="EC25" s="16">
        <f t="shared" si="291"/>
        <v>105</v>
      </c>
      <c r="ED25" s="16">
        <f t="shared" si="291"/>
        <v>70</v>
      </c>
      <c r="EE25" s="16">
        <f t="shared" si="291"/>
        <v>174</v>
      </c>
      <c r="EF25" s="16">
        <f t="shared" si="291"/>
        <v>253</v>
      </c>
      <c r="EG25" s="16">
        <f t="shared" si="291"/>
        <v>274</v>
      </c>
      <c r="EH25" s="16">
        <f t="shared" si="291"/>
        <v>211</v>
      </c>
      <c r="EI25" s="16">
        <f t="shared" si="291"/>
        <v>181</v>
      </c>
      <c r="EJ25" s="16">
        <f t="shared" si="291"/>
        <v>172</v>
      </c>
      <c r="EK25" s="16">
        <f t="shared" si="291"/>
        <v>198</v>
      </c>
      <c r="EL25" s="16">
        <f t="shared" si="291"/>
        <v>197</v>
      </c>
      <c r="EM25" s="16">
        <f t="shared" si="291"/>
        <v>256</v>
      </c>
      <c r="EN25" s="16">
        <f t="shared" si="291"/>
        <v>296</v>
      </c>
      <c r="EO25" s="16">
        <f t="shared" si="291"/>
        <v>331</v>
      </c>
      <c r="EP25" s="16">
        <f t="shared" si="291"/>
        <v>276</v>
      </c>
      <c r="EQ25" s="16">
        <f t="shared" si="291"/>
        <v>153</v>
      </c>
      <c r="ER25" s="16">
        <f t="shared" si="291"/>
        <v>73</v>
      </c>
      <c r="ES25" s="16">
        <f t="shared" si="291"/>
        <v>27</v>
      </c>
      <c r="ET25" s="16">
        <f t="shared" si="291"/>
        <v>3</v>
      </c>
      <c r="EU25" s="11">
        <f t="shared" si="288"/>
        <v>3644</v>
      </c>
      <c r="EV25" s="11">
        <f t="shared" si="281"/>
        <v>126</v>
      </c>
      <c r="EW25" s="11">
        <f t="shared" si="282"/>
        <v>67.8</v>
      </c>
      <c r="EX25" s="11">
        <f t="shared" si="279"/>
        <v>1415</v>
      </c>
      <c r="EY25" s="11">
        <f t="shared" si="283"/>
        <v>863</v>
      </c>
      <c r="EZ25" s="15">
        <f t="shared" si="284"/>
        <v>0.38830954994511524</v>
      </c>
      <c r="FA25" s="15">
        <f t="shared" si="285"/>
        <v>0.23682766190998902</v>
      </c>
      <c r="FB25" s="11">
        <f t="shared" si="289"/>
        <v>771</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2">ROUND(DZ9,0)</f>
        <v>102</v>
      </c>
      <c r="EA26" s="9">
        <f t="shared" si="292"/>
        <v>114</v>
      </c>
      <c r="EB26" s="9">
        <f t="shared" si="292"/>
        <v>53</v>
      </c>
      <c r="EC26" s="9">
        <f t="shared" si="292"/>
        <v>53</v>
      </c>
      <c r="ED26" s="9">
        <f t="shared" si="292"/>
        <v>26</v>
      </c>
      <c r="EE26" s="9">
        <f t="shared" si="292"/>
        <v>79</v>
      </c>
      <c r="EF26" s="9">
        <f t="shared" si="292"/>
        <v>125</v>
      </c>
      <c r="EG26" s="9">
        <f t="shared" si="292"/>
        <v>164</v>
      </c>
      <c r="EH26" s="9">
        <f t="shared" si="292"/>
        <v>146</v>
      </c>
      <c r="EI26" s="9">
        <f t="shared" si="292"/>
        <v>104</v>
      </c>
      <c r="EJ26" s="9">
        <f t="shared" si="292"/>
        <v>97</v>
      </c>
      <c r="EK26" s="9">
        <f t="shared" si="292"/>
        <v>85</v>
      </c>
      <c r="EL26" s="9">
        <f t="shared" si="292"/>
        <v>97</v>
      </c>
      <c r="EM26" s="9">
        <f t="shared" si="292"/>
        <v>88</v>
      </c>
      <c r="EN26" s="9">
        <f t="shared" si="292"/>
        <v>114</v>
      </c>
      <c r="EO26" s="9">
        <f t="shared" si="292"/>
        <v>119</v>
      </c>
      <c r="EP26" s="9">
        <f t="shared" si="292"/>
        <v>121</v>
      </c>
      <c r="EQ26" s="9">
        <f t="shared" si="292"/>
        <v>68</v>
      </c>
      <c r="ER26" s="9">
        <f t="shared" si="292"/>
        <v>20</v>
      </c>
      <c r="ES26" s="9">
        <f t="shared" si="292"/>
        <v>3</v>
      </c>
      <c r="ET26" s="9">
        <f t="shared" si="292"/>
        <v>0</v>
      </c>
      <c r="EU26" s="9">
        <f t="shared" si="288"/>
        <v>1778</v>
      </c>
      <c r="EV26" s="9">
        <f t="shared" si="281"/>
        <v>100.2</v>
      </c>
      <c r="EW26" s="9">
        <f t="shared" si="282"/>
        <v>31.799999999999997</v>
      </c>
      <c r="EX26" s="9">
        <f t="shared" si="279"/>
        <v>533</v>
      </c>
      <c r="EY26" s="9">
        <f t="shared" si="283"/>
        <v>331</v>
      </c>
      <c r="EZ26" s="13">
        <f t="shared" si="284"/>
        <v>0.29977502812148482</v>
      </c>
      <c r="FA26" s="13">
        <f t="shared" si="285"/>
        <v>0.18616422947131608</v>
      </c>
      <c r="FB26" s="9">
        <f t="shared" si="289"/>
        <v>394</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3">ROUND(DZ10,0)</f>
        <v>89</v>
      </c>
      <c r="EA27" s="10">
        <f t="shared" si="293"/>
        <v>81</v>
      </c>
      <c r="EB27" s="10">
        <f t="shared" si="293"/>
        <v>38</v>
      </c>
      <c r="EC27" s="10">
        <f t="shared" si="293"/>
        <v>41</v>
      </c>
      <c r="ED27" s="10">
        <f t="shared" si="293"/>
        <v>29</v>
      </c>
      <c r="EE27" s="10">
        <f t="shared" si="293"/>
        <v>80</v>
      </c>
      <c r="EF27" s="10">
        <f t="shared" si="293"/>
        <v>123</v>
      </c>
      <c r="EG27" s="10">
        <f t="shared" si="293"/>
        <v>171</v>
      </c>
      <c r="EH27" s="10">
        <f t="shared" si="293"/>
        <v>139</v>
      </c>
      <c r="EI27" s="10">
        <f t="shared" si="293"/>
        <v>103</v>
      </c>
      <c r="EJ27" s="10">
        <f t="shared" si="293"/>
        <v>74</v>
      </c>
      <c r="EK27" s="10">
        <f t="shared" si="293"/>
        <v>84</v>
      </c>
      <c r="EL27" s="10">
        <f t="shared" si="293"/>
        <v>97</v>
      </c>
      <c r="EM27" s="10">
        <f t="shared" si="293"/>
        <v>107</v>
      </c>
      <c r="EN27" s="10">
        <f t="shared" si="293"/>
        <v>126</v>
      </c>
      <c r="EO27" s="10">
        <f t="shared" si="293"/>
        <v>145</v>
      </c>
      <c r="EP27" s="10">
        <f t="shared" si="293"/>
        <v>136</v>
      </c>
      <c r="EQ27" s="10">
        <f t="shared" si="293"/>
        <v>116</v>
      </c>
      <c r="ER27" s="10">
        <f t="shared" si="293"/>
        <v>55</v>
      </c>
      <c r="ES27" s="10">
        <f t="shared" si="293"/>
        <v>18</v>
      </c>
      <c r="ET27" s="10">
        <f t="shared" si="293"/>
        <v>3</v>
      </c>
      <c r="EU27" s="10">
        <f t="shared" si="288"/>
        <v>1855</v>
      </c>
      <c r="EV27" s="10">
        <f t="shared" si="281"/>
        <v>71.400000000000006</v>
      </c>
      <c r="EW27" s="10">
        <f t="shared" si="282"/>
        <v>23.4</v>
      </c>
      <c r="EX27" s="10">
        <f t="shared" si="279"/>
        <v>706</v>
      </c>
      <c r="EY27" s="10">
        <f t="shared" si="283"/>
        <v>473</v>
      </c>
      <c r="EZ27" s="14">
        <f t="shared" si="284"/>
        <v>0.38059299191374663</v>
      </c>
      <c r="FA27" s="14">
        <f t="shared" si="285"/>
        <v>0.25498652291105123</v>
      </c>
      <c r="FB27" s="10">
        <f t="shared" si="289"/>
        <v>403</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191</v>
      </c>
      <c r="EA28" s="16">
        <f t="shared" ref="EA28:ET28" si="294">EA26+EA27</f>
        <v>195</v>
      </c>
      <c r="EB28" s="16">
        <f t="shared" si="294"/>
        <v>91</v>
      </c>
      <c r="EC28" s="16">
        <f t="shared" si="294"/>
        <v>94</v>
      </c>
      <c r="ED28" s="16">
        <f t="shared" si="294"/>
        <v>55</v>
      </c>
      <c r="EE28" s="16">
        <f t="shared" si="294"/>
        <v>159</v>
      </c>
      <c r="EF28" s="16">
        <f t="shared" si="294"/>
        <v>248</v>
      </c>
      <c r="EG28" s="16">
        <f t="shared" si="294"/>
        <v>335</v>
      </c>
      <c r="EH28" s="16">
        <f t="shared" si="294"/>
        <v>285</v>
      </c>
      <c r="EI28" s="16">
        <f t="shared" si="294"/>
        <v>207</v>
      </c>
      <c r="EJ28" s="16">
        <f t="shared" si="294"/>
        <v>171</v>
      </c>
      <c r="EK28" s="16">
        <f t="shared" si="294"/>
        <v>169</v>
      </c>
      <c r="EL28" s="16">
        <f t="shared" si="294"/>
        <v>194</v>
      </c>
      <c r="EM28" s="16">
        <f t="shared" si="294"/>
        <v>195</v>
      </c>
      <c r="EN28" s="16">
        <f t="shared" si="294"/>
        <v>240</v>
      </c>
      <c r="EO28" s="16">
        <f t="shared" si="294"/>
        <v>264</v>
      </c>
      <c r="EP28" s="16">
        <f t="shared" si="294"/>
        <v>257</v>
      </c>
      <c r="EQ28" s="16">
        <f t="shared" si="294"/>
        <v>184</v>
      </c>
      <c r="ER28" s="16">
        <f t="shared" si="294"/>
        <v>75</v>
      </c>
      <c r="ES28" s="16">
        <f t="shared" si="294"/>
        <v>21</v>
      </c>
      <c r="ET28" s="16">
        <f t="shared" si="294"/>
        <v>3</v>
      </c>
      <c r="EU28" s="11">
        <f t="shared" si="288"/>
        <v>3633</v>
      </c>
      <c r="EV28" s="11">
        <f t="shared" si="281"/>
        <v>171.6</v>
      </c>
      <c r="EW28" s="11">
        <f t="shared" si="282"/>
        <v>55.2</v>
      </c>
      <c r="EX28" s="11">
        <f t="shared" si="279"/>
        <v>1239</v>
      </c>
      <c r="EY28" s="11">
        <f t="shared" si="283"/>
        <v>804</v>
      </c>
      <c r="EZ28" s="15">
        <f t="shared" si="284"/>
        <v>0.34104046242774566</v>
      </c>
      <c r="FA28" s="15">
        <f t="shared" si="285"/>
        <v>0.22130470685383979</v>
      </c>
      <c r="FB28" s="11">
        <f t="shared" si="289"/>
        <v>797</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5">ROUND(DZ12,0)</f>
        <v>97</v>
      </c>
      <c r="EA29" s="9">
        <f t="shared" si="295"/>
        <v>119</v>
      </c>
      <c r="EB29" s="9">
        <f t="shared" si="295"/>
        <v>112</v>
      </c>
      <c r="EC29" s="9">
        <f t="shared" si="295"/>
        <v>42</v>
      </c>
      <c r="ED29" s="9">
        <f t="shared" si="295"/>
        <v>27</v>
      </c>
      <c r="EE29" s="9">
        <f t="shared" si="295"/>
        <v>71</v>
      </c>
      <c r="EF29" s="9">
        <f t="shared" si="295"/>
        <v>120</v>
      </c>
      <c r="EG29" s="9">
        <f t="shared" si="295"/>
        <v>162</v>
      </c>
      <c r="EH29" s="9">
        <f t="shared" si="295"/>
        <v>176</v>
      </c>
      <c r="EI29" s="9">
        <f t="shared" si="295"/>
        <v>144</v>
      </c>
      <c r="EJ29" s="9">
        <f t="shared" si="295"/>
        <v>97</v>
      </c>
      <c r="EK29" s="9">
        <f t="shared" si="295"/>
        <v>96</v>
      </c>
      <c r="EL29" s="9">
        <f t="shared" si="295"/>
        <v>82</v>
      </c>
      <c r="EM29" s="9">
        <f t="shared" si="295"/>
        <v>94</v>
      </c>
      <c r="EN29" s="9">
        <f t="shared" si="295"/>
        <v>82</v>
      </c>
      <c r="EO29" s="9">
        <f t="shared" si="295"/>
        <v>97</v>
      </c>
      <c r="EP29" s="9">
        <f t="shared" si="295"/>
        <v>91</v>
      </c>
      <c r="EQ29" s="9">
        <f t="shared" si="295"/>
        <v>65</v>
      </c>
      <c r="ER29" s="9">
        <f t="shared" si="295"/>
        <v>27</v>
      </c>
      <c r="ES29" s="9">
        <f t="shared" si="295"/>
        <v>3</v>
      </c>
      <c r="ET29" s="9">
        <f t="shared" si="295"/>
        <v>0</v>
      </c>
      <c r="EU29" s="9">
        <f t="shared" si="288"/>
        <v>1804</v>
      </c>
      <c r="EV29" s="9">
        <f t="shared" si="281"/>
        <v>138.60000000000002</v>
      </c>
      <c r="EW29" s="9">
        <f t="shared" si="282"/>
        <v>53.199999999999996</v>
      </c>
      <c r="EX29" s="9">
        <f t="shared" si="279"/>
        <v>459</v>
      </c>
      <c r="EY29" s="9">
        <f t="shared" si="283"/>
        <v>283</v>
      </c>
      <c r="EZ29" s="13">
        <f t="shared" si="284"/>
        <v>0.25443458980044348</v>
      </c>
      <c r="FA29" s="13">
        <f t="shared" si="285"/>
        <v>0.15687361419068735</v>
      </c>
      <c r="FB29" s="9">
        <f t="shared" si="289"/>
        <v>380</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6">ROUND(DZ13,0)</f>
        <v>84</v>
      </c>
      <c r="EA30" s="10">
        <f t="shared" si="296"/>
        <v>85</v>
      </c>
      <c r="EB30" s="10">
        <f t="shared" si="296"/>
        <v>80</v>
      </c>
      <c r="EC30" s="10">
        <f t="shared" si="296"/>
        <v>32</v>
      </c>
      <c r="ED30" s="10">
        <f t="shared" si="296"/>
        <v>22</v>
      </c>
      <c r="EE30" s="10">
        <f t="shared" si="296"/>
        <v>75</v>
      </c>
      <c r="EF30" s="10">
        <f t="shared" si="296"/>
        <v>116</v>
      </c>
      <c r="EG30" s="10">
        <f t="shared" si="296"/>
        <v>169</v>
      </c>
      <c r="EH30" s="10">
        <f t="shared" si="296"/>
        <v>172</v>
      </c>
      <c r="EI30" s="10">
        <f t="shared" si="296"/>
        <v>135</v>
      </c>
      <c r="EJ30" s="10">
        <f t="shared" si="296"/>
        <v>98</v>
      </c>
      <c r="EK30" s="10">
        <f t="shared" si="296"/>
        <v>71</v>
      </c>
      <c r="EL30" s="10">
        <f t="shared" si="296"/>
        <v>83</v>
      </c>
      <c r="EM30" s="10">
        <f t="shared" si="296"/>
        <v>97</v>
      </c>
      <c r="EN30" s="10">
        <f t="shared" si="296"/>
        <v>102</v>
      </c>
      <c r="EO30" s="10">
        <f t="shared" si="296"/>
        <v>117</v>
      </c>
      <c r="EP30" s="10">
        <f t="shared" si="296"/>
        <v>114</v>
      </c>
      <c r="EQ30" s="10">
        <f t="shared" si="296"/>
        <v>106</v>
      </c>
      <c r="ER30" s="10">
        <f t="shared" si="296"/>
        <v>63</v>
      </c>
      <c r="ES30" s="10">
        <f t="shared" si="296"/>
        <v>19</v>
      </c>
      <c r="ET30" s="10">
        <f t="shared" si="296"/>
        <v>2</v>
      </c>
      <c r="EU30" s="10">
        <f t="shared" si="288"/>
        <v>1842</v>
      </c>
      <c r="EV30" s="10">
        <f t="shared" si="281"/>
        <v>99</v>
      </c>
      <c r="EW30" s="10">
        <f t="shared" si="282"/>
        <v>38.4</v>
      </c>
      <c r="EX30" s="10">
        <f t="shared" si="279"/>
        <v>620</v>
      </c>
      <c r="EY30" s="10">
        <f t="shared" si="283"/>
        <v>421</v>
      </c>
      <c r="EZ30" s="14">
        <f t="shared" si="284"/>
        <v>0.33659066232356133</v>
      </c>
      <c r="FA30" s="14">
        <f t="shared" si="285"/>
        <v>0.2285559174809989</v>
      </c>
      <c r="FB30" s="10">
        <f t="shared" si="289"/>
        <v>382</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181</v>
      </c>
      <c r="EA31" s="16">
        <f t="shared" ref="EA31:ET31" si="297">EA29+EA30</f>
        <v>204</v>
      </c>
      <c r="EB31" s="16">
        <f t="shared" si="297"/>
        <v>192</v>
      </c>
      <c r="EC31" s="16">
        <f t="shared" si="297"/>
        <v>74</v>
      </c>
      <c r="ED31" s="16">
        <f t="shared" si="297"/>
        <v>49</v>
      </c>
      <c r="EE31" s="16">
        <f t="shared" si="297"/>
        <v>146</v>
      </c>
      <c r="EF31" s="16">
        <f t="shared" si="297"/>
        <v>236</v>
      </c>
      <c r="EG31" s="16">
        <f t="shared" si="297"/>
        <v>331</v>
      </c>
      <c r="EH31" s="16">
        <f t="shared" si="297"/>
        <v>348</v>
      </c>
      <c r="EI31" s="16">
        <f t="shared" si="297"/>
        <v>279</v>
      </c>
      <c r="EJ31" s="16">
        <f t="shared" si="297"/>
        <v>195</v>
      </c>
      <c r="EK31" s="16">
        <f t="shared" si="297"/>
        <v>167</v>
      </c>
      <c r="EL31" s="16">
        <f t="shared" si="297"/>
        <v>165</v>
      </c>
      <c r="EM31" s="16">
        <f t="shared" si="297"/>
        <v>191</v>
      </c>
      <c r="EN31" s="16">
        <f t="shared" si="297"/>
        <v>184</v>
      </c>
      <c r="EO31" s="16">
        <f t="shared" si="297"/>
        <v>214</v>
      </c>
      <c r="EP31" s="16">
        <f t="shared" si="297"/>
        <v>205</v>
      </c>
      <c r="EQ31" s="16">
        <f t="shared" si="297"/>
        <v>171</v>
      </c>
      <c r="ER31" s="16">
        <f t="shared" si="297"/>
        <v>90</v>
      </c>
      <c r="ES31" s="16">
        <f t="shared" si="297"/>
        <v>22</v>
      </c>
      <c r="ET31" s="16">
        <f t="shared" si="297"/>
        <v>2</v>
      </c>
      <c r="EU31" s="11">
        <f t="shared" si="288"/>
        <v>3646</v>
      </c>
      <c r="EV31" s="11">
        <f t="shared" si="281"/>
        <v>237.60000000000002</v>
      </c>
      <c r="EW31" s="11">
        <f t="shared" si="282"/>
        <v>91.6</v>
      </c>
      <c r="EX31" s="11">
        <f t="shared" si="279"/>
        <v>1079</v>
      </c>
      <c r="EY31" s="11">
        <f t="shared" si="283"/>
        <v>704</v>
      </c>
      <c r="EZ31" s="15">
        <f t="shared" si="284"/>
        <v>0.29594075699396599</v>
      </c>
      <c r="FA31" s="15">
        <f t="shared" si="285"/>
        <v>0.19308831596269885</v>
      </c>
      <c r="FB31" s="11">
        <f t="shared" si="289"/>
        <v>762</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EZ18:EZ19"/>
    <mergeCell ref="FA18:FA19"/>
    <mergeCell ref="FB18:FB19"/>
    <mergeCell ref="EQ18:EQ19"/>
    <mergeCell ref="ER18:ER19"/>
    <mergeCell ref="ES18:ES19"/>
    <mergeCell ref="ET18:ET19"/>
    <mergeCell ref="EU18:EU19"/>
    <mergeCell ref="EV18:EV19"/>
    <mergeCell ref="EW18:EW19"/>
    <mergeCell ref="EX18:EX19"/>
    <mergeCell ref="EY18:EY19"/>
    <mergeCell ref="EH18:EH19"/>
    <mergeCell ref="EI18:EI19"/>
    <mergeCell ref="EJ18:EJ19"/>
    <mergeCell ref="EK18:EK19"/>
    <mergeCell ref="EL18:EL19"/>
    <mergeCell ref="EM18:EM19"/>
    <mergeCell ref="EN18:EN19"/>
    <mergeCell ref="EO18:EO19"/>
    <mergeCell ref="EP18:EP19"/>
    <mergeCell ref="DX18:DY19"/>
    <mergeCell ref="DZ18:DZ19"/>
    <mergeCell ref="EA18:EA19"/>
    <mergeCell ref="EB18:EB19"/>
    <mergeCell ref="EC18:EC19"/>
    <mergeCell ref="ED18:ED19"/>
    <mergeCell ref="EE18:EE19"/>
    <mergeCell ref="EF18:EF19"/>
    <mergeCell ref="EG18:EG19"/>
    <mergeCell ref="DO1:DO2"/>
    <mergeCell ref="DP1:DP2"/>
    <mergeCell ref="DQ1:DQ2"/>
    <mergeCell ref="DR1:DR2"/>
    <mergeCell ref="DS1:DS2"/>
    <mergeCell ref="DT1:DT2"/>
    <mergeCell ref="DI1:DI2"/>
    <mergeCell ref="DJ1:DJ2"/>
    <mergeCell ref="DK1:DK2"/>
    <mergeCell ref="DL1:DL2"/>
    <mergeCell ref="DM1:DM2"/>
    <mergeCell ref="DN1:DN2"/>
    <mergeCell ref="DC1:DC2"/>
    <mergeCell ref="DD1:DD2"/>
    <mergeCell ref="DE1:DE2"/>
    <mergeCell ref="DF1:DF2"/>
    <mergeCell ref="DG1:DG2"/>
    <mergeCell ref="DH1:DH2"/>
    <mergeCell ref="CW1:CW2"/>
    <mergeCell ref="CX1:CX2"/>
    <mergeCell ref="CY1:CY2"/>
    <mergeCell ref="CZ1:CZ2"/>
    <mergeCell ref="DA1:DA2"/>
    <mergeCell ref="DB1:DB2"/>
    <mergeCell ref="CM1:CM2"/>
    <mergeCell ref="CR1:CR2"/>
    <mergeCell ref="CS1:CS2"/>
    <mergeCell ref="CT1:CT2"/>
    <mergeCell ref="CU1:CU2"/>
    <mergeCell ref="CV1:CV2"/>
    <mergeCell ref="CG1:CG2"/>
    <mergeCell ref="CH1:CH2"/>
    <mergeCell ref="CI1:CI2"/>
    <mergeCell ref="CJ1:CJ2"/>
    <mergeCell ref="CK1:CK2"/>
    <mergeCell ref="CL1:CL2"/>
    <mergeCell ref="CA1:CA2"/>
    <mergeCell ref="CB1:CB2"/>
    <mergeCell ref="CC1:CC2"/>
    <mergeCell ref="CD1:CD2"/>
    <mergeCell ref="CE1:CE2"/>
    <mergeCell ref="CF1:CF2"/>
    <mergeCell ref="BU1:BU2"/>
    <mergeCell ref="BV1:BV2"/>
    <mergeCell ref="BW1:BW2"/>
    <mergeCell ref="BX1:BX2"/>
    <mergeCell ref="BY1:BY2"/>
    <mergeCell ref="BZ1:BZ2"/>
    <mergeCell ref="BQ1:BQ2"/>
    <mergeCell ref="BR1:BR2"/>
    <mergeCell ref="BS1:BS2"/>
    <mergeCell ref="BT1:BT2"/>
    <mergeCell ref="BE1:BE2"/>
    <mergeCell ref="BF1:BF2"/>
    <mergeCell ref="BK1:BK2"/>
    <mergeCell ref="BL1:BL2"/>
    <mergeCell ref="BM1:BM2"/>
    <mergeCell ref="BN1:BN2"/>
    <mergeCell ref="BD1:BD2"/>
    <mergeCell ref="AS1:AS2"/>
    <mergeCell ref="AT1:AT2"/>
    <mergeCell ref="AU1:AU2"/>
    <mergeCell ref="AV1:AV2"/>
    <mergeCell ref="AW1:AW2"/>
    <mergeCell ref="AX1:AX2"/>
    <mergeCell ref="BO1:BO2"/>
    <mergeCell ref="BP1:BP2"/>
    <mergeCell ref="AD1:AD2"/>
    <mergeCell ref="AE1:AE2"/>
    <mergeCell ref="AB1:AB2"/>
    <mergeCell ref="AC1:AC2"/>
    <mergeCell ref="AY1:AY2"/>
    <mergeCell ref="AZ1:AZ2"/>
    <mergeCell ref="BA1:BA2"/>
    <mergeCell ref="BB1:BB2"/>
    <mergeCell ref="BC1:BC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activeCell="B1" sqref="B1:B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2288</v>
      </c>
      <c r="D4" s="17">
        <f>SUM(C41:C61)</f>
        <v>2579</v>
      </c>
      <c r="E4" s="17">
        <f>C4+D4</f>
        <v>4867</v>
      </c>
      <c r="F4" s="85"/>
      <c r="G4" s="1" t="s">
        <v>58</v>
      </c>
      <c r="H4" s="1">
        <f>B4</f>
        <v>2010</v>
      </c>
      <c r="I4" s="17">
        <f>C4</f>
        <v>2288</v>
      </c>
      <c r="J4" s="17">
        <f>D4</f>
        <v>2579</v>
      </c>
      <c r="K4" s="17">
        <f>I4+J4</f>
        <v>4867</v>
      </c>
      <c r="N4" s="1" t="s">
        <v>58</v>
      </c>
      <c r="O4" s="1">
        <f>H4</f>
        <v>2010</v>
      </c>
      <c r="P4" s="17">
        <f>I4</f>
        <v>2288</v>
      </c>
      <c r="Q4" s="17">
        <f t="shared" ref="Q4:R4" si="0">J4</f>
        <v>2579</v>
      </c>
      <c r="R4" s="17">
        <f t="shared" si="0"/>
        <v>4867</v>
      </c>
      <c r="S4" s="1"/>
      <c r="T4" s="1"/>
      <c r="U4" s="1"/>
    </row>
    <row r="5" spans="1:21" x14ac:dyDescent="0.15">
      <c r="A5" s="1" t="s">
        <v>61</v>
      </c>
      <c r="B5" s="1">
        <f>管理者入力シート!B6</f>
        <v>2015</v>
      </c>
      <c r="C5" s="17">
        <f>SUM(B65:B85)</f>
        <v>2064</v>
      </c>
      <c r="D5" s="17">
        <f>SUM(C65:C85)</f>
        <v>2344</v>
      </c>
      <c r="E5" s="17">
        <f t="shared" ref="E5" si="1">C5+D5</f>
        <v>4408</v>
      </c>
      <c r="F5" s="85"/>
      <c r="G5" s="1" t="s">
        <v>57</v>
      </c>
      <c r="H5" s="1">
        <f t="shared" ref="H5:H6" si="2">B5</f>
        <v>2015</v>
      </c>
      <c r="I5" s="17">
        <f t="shared" ref="I5" si="3">C5</f>
        <v>2064</v>
      </c>
      <c r="J5" s="17">
        <f>D5</f>
        <v>2344</v>
      </c>
      <c r="K5" s="17">
        <f t="shared" ref="K5:K10" si="4">I5+J5</f>
        <v>4408</v>
      </c>
      <c r="N5" s="1" t="s">
        <v>57</v>
      </c>
      <c r="O5" s="1">
        <f t="shared" ref="O5:O10" si="5">H5</f>
        <v>2015</v>
      </c>
      <c r="P5" s="17">
        <f t="shared" ref="P5:P10" si="6">I5</f>
        <v>2064</v>
      </c>
      <c r="Q5" s="17">
        <f t="shared" ref="Q5:Q10" si="7">J5</f>
        <v>2344</v>
      </c>
      <c r="R5" s="17">
        <f t="shared" ref="R5:R10" si="8">K5</f>
        <v>4408</v>
      </c>
      <c r="S5" s="1"/>
      <c r="T5" s="1"/>
      <c r="U5" s="1"/>
    </row>
    <row r="6" spans="1:21" x14ac:dyDescent="0.15">
      <c r="A6" s="1" t="s">
        <v>62</v>
      </c>
      <c r="B6" s="1">
        <f>管理者入力シート!B5</f>
        <v>2020</v>
      </c>
      <c r="C6" s="17">
        <f>SUM(B89:B109)</f>
        <v>1834</v>
      </c>
      <c r="D6" s="17">
        <f>SUM(C89:C109)</f>
        <v>2048</v>
      </c>
      <c r="E6" s="17">
        <f>C6+D6</f>
        <v>3882</v>
      </c>
      <c r="F6" s="85"/>
      <c r="G6" s="1" t="s">
        <v>62</v>
      </c>
      <c r="H6" s="1">
        <f t="shared" si="2"/>
        <v>2020</v>
      </c>
      <c r="I6" s="17">
        <f>C6</f>
        <v>1834</v>
      </c>
      <c r="J6" s="17">
        <f>D6</f>
        <v>2048</v>
      </c>
      <c r="K6" s="17">
        <f t="shared" si="4"/>
        <v>3882</v>
      </c>
      <c r="N6" s="1" t="s">
        <v>62</v>
      </c>
      <c r="O6" s="1">
        <f t="shared" si="5"/>
        <v>2020</v>
      </c>
      <c r="P6" s="17">
        <f t="shared" si="6"/>
        <v>1834</v>
      </c>
      <c r="Q6" s="17">
        <f t="shared" si="7"/>
        <v>2048</v>
      </c>
      <c r="R6" s="17">
        <f t="shared" si="8"/>
        <v>3882</v>
      </c>
      <c r="S6" s="1"/>
      <c r="T6" s="1"/>
      <c r="U6" s="1"/>
    </row>
    <row r="7" spans="1:21" x14ac:dyDescent="0.15">
      <c r="G7" s="1" t="s">
        <v>106</v>
      </c>
      <c r="H7" s="1">
        <f>管理者入力シート!B8</f>
        <v>2025</v>
      </c>
      <c r="I7" s="17">
        <f>SUM(H69:H89)</f>
        <v>1619</v>
      </c>
      <c r="J7" s="17">
        <f>SUM(I69:I89)</f>
        <v>1780</v>
      </c>
      <c r="K7" s="17">
        <f t="shared" si="4"/>
        <v>3399</v>
      </c>
      <c r="N7" s="1" t="s">
        <v>106</v>
      </c>
      <c r="O7" s="1">
        <f t="shared" si="5"/>
        <v>2025</v>
      </c>
      <c r="P7" s="17">
        <f t="shared" si="6"/>
        <v>1619</v>
      </c>
      <c r="Q7" s="17">
        <f t="shared" si="7"/>
        <v>1780</v>
      </c>
      <c r="R7" s="17">
        <f t="shared" si="8"/>
        <v>3399</v>
      </c>
      <c r="S7" s="235">
        <f>SUM(O69:O89)</f>
        <v>1623</v>
      </c>
      <c r="T7" s="235">
        <f>SUM(P69:P89)</f>
        <v>1785</v>
      </c>
      <c r="U7" s="235">
        <f>S7+T7</f>
        <v>3408</v>
      </c>
    </row>
    <row r="8" spans="1:21" x14ac:dyDescent="0.15">
      <c r="A8" s="69" t="s">
        <v>71</v>
      </c>
      <c r="G8" s="1" t="s">
        <v>107</v>
      </c>
      <c r="H8" s="1">
        <f>管理者入力シート!B9</f>
        <v>2030</v>
      </c>
      <c r="I8" s="17">
        <f>SUM(H93:H113)</f>
        <v>1410</v>
      </c>
      <c r="J8" s="17">
        <f>SUM(I93:I113)</f>
        <v>1540</v>
      </c>
      <c r="K8" s="17">
        <f t="shared" si="4"/>
        <v>2950</v>
      </c>
      <c r="N8" s="1" t="s">
        <v>107</v>
      </c>
      <c r="O8" s="1">
        <f t="shared" si="5"/>
        <v>2030</v>
      </c>
      <c r="P8" s="17">
        <f t="shared" si="6"/>
        <v>1410</v>
      </c>
      <c r="Q8" s="17">
        <f t="shared" si="7"/>
        <v>1540</v>
      </c>
      <c r="R8" s="17">
        <f t="shared" si="8"/>
        <v>2950</v>
      </c>
      <c r="S8" s="235">
        <f>SUM(O93:O113)</f>
        <v>1418</v>
      </c>
      <c r="T8" s="235">
        <f>SUM(P93:P113)</f>
        <v>1551</v>
      </c>
      <c r="U8" s="235">
        <f t="shared" ref="U8:U10" si="9">S8+T8</f>
        <v>2969</v>
      </c>
    </row>
    <row r="9" spans="1:21" x14ac:dyDescent="0.15">
      <c r="A9" s="2" t="s">
        <v>72</v>
      </c>
      <c r="G9" s="1" t="s">
        <v>108</v>
      </c>
      <c r="H9" s="1">
        <f>管理者入力シート!B10</f>
        <v>2035</v>
      </c>
      <c r="I9" s="17">
        <f>SUM(H117:H137)</f>
        <v>1204</v>
      </c>
      <c r="J9" s="17">
        <f>SUM(I117:I137)</f>
        <v>1318</v>
      </c>
      <c r="K9" s="17">
        <f t="shared" si="4"/>
        <v>2522</v>
      </c>
      <c r="N9" s="1" t="s">
        <v>108</v>
      </c>
      <c r="O9" s="1">
        <f t="shared" si="5"/>
        <v>2035</v>
      </c>
      <c r="P9" s="17">
        <f t="shared" si="6"/>
        <v>1204</v>
      </c>
      <c r="Q9" s="17">
        <f t="shared" si="7"/>
        <v>1318</v>
      </c>
      <c r="R9" s="17">
        <f t="shared" si="8"/>
        <v>2522</v>
      </c>
      <c r="S9" s="235">
        <f>SUM(O117:O137)</f>
        <v>1217</v>
      </c>
      <c r="T9" s="235">
        <f>SUM(P117:P137)</f>
        <v>1333</v>
      </c>
      <c r="U9" s="235">
        <f t="shared" si="9"/>
        <v>2550</v>
      </c>
    </row>
    <row r="10" spans="1:21" x14ac:dyDescent="0.15">
      <c r="A10" s="1" t="s">
        <v>58</v>
      </c>
      <c r="B10" s="1">
        <f>B4</f>
        <v>2010</v>
      </c>
      <c r="C10" s="17">
        <f>ROUND(VLOOKUP(B10&amp;"_3",管理者用人口入力シート!A:AA,26,FALSE),0)</f>
        <v>267</v>
      </c>
      <c r="D10" s="12"/>
      <c r="E10" s="12"/>
      <c r="G10" s="1" t="s">
        <v>109</v>
      </c>
      <c r="H10" s="1">
        <f>管理者入力シート!B11</f>
        <v>2040</v>
      </c>
      <c r="I10" s="17">
        <f>SUM(H141:H161)</f>
        <v>1009</v>
      </c>
      <c r="J10" s="17">
        <f>SUM(I141:I161)</f>
        <v>1114</v>
      </c>
      <c r="K10" s="17">
        <f t="shared" si="4"/>
        <v>2123</v>
      </c>
      <c r="N10" s="1" t="s">
        <v>109</v>
      </c>
      <c r="O10" s="1">
        <f t="shared" si="5"/>
        <v>2040</v>
      </c>
      <c r="P10" s="17">
        <f t="shared" si="6"/>
        <v>1009</v>
      </c>
      <c r="Q10" s="17">
        <f t="shared" si="7"/>
        <v>1114</v>
      </c>
      <c r="R10" s="17">
        <f t="shared" si="8"/>
        <v>2123</v>
      </c>
      <c r="S10" s="235">
        <f>SUM(O141:O161)</f>
        <v>1028</v>
      </c>
      <c r="T10" s="235">
        <f>SUM(P141:P161)</f>
        <v>1134</v>
      </c>
      <c r="U10" s="235">
        <f t="shared" si="9"/>
        <v>2162</v>
      </c>
    </row>
    <row r="11" spans="1:21" x14ac:dyDescent="0.15">
      <c r="A11" s="1" t="s">
        <v>61</v>
      </c>
      <c r="B11" s="1">
        <f t="shared" ref="B11:B12" si="10">B5</f>
        <v>2015</v>
      </c>
      <c r="C11" s="17">
        <f>ROUND(VLOOKUP(B11&amp;"_3",管理者用人口入力シート!A:AA,26,FALSE),0)</f>
        <v>225</v>
      </c>
      <c r="D11" s="12"/>
      <c r="E11" s="12"/>
      <c r="I11" s="12"/>
      <c r="J11" s="12"/>
      <c r="K11" s="12"/>
      <c r="P11" s="12"/>
    </row>
    <row r="12" spans="1:21" x14ac:dyDescent="0.15">
      <c r="A12" s="1" t="s">
        <v>62</v>
      </c>
      <c r="B12" s="1">
        <f t="shared" si="10"/>
        <v>2020</v>
      </c>
      <c r="C12" s="17">
        <f>ROUND(VLOOKUP(B12&amp;"_3",管理者用人口入力シート!A:AA,26,FALSE),0)</f>
        <v>177</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134</v>
      </c>
      <c r="D14" s="12"/>
      <c r="E14" s="12"/>
      <c r="G14" s="1" t="s">
        <v>58</v>
      </c>
      <c r="H14" s="1">
        <f>H4</f>
        <v>2010</v>
      </c>
      <c r="I14" s="17">
        <f>C10</f>
        <v>267</v>
      </c>
      <c r="J14" s="12"/>
      <c r="K14" s="12"/>
      <c r="N14" s="1" t="s">
        <v>58</v>
      </c>
      <c r="O14" s="1">
        <f>O4</f>
        <v>2010</v>
      </c>
      <c r="P14" s="17">
        <f>I14</f>
        <v>267</v>
      </c>
      <c r="Q14" s="17"/>
    </row>
    <row r="15" spans="1:21" x14ac:dyDescent="0.15">
      <c r="A15" s="1" t="s">
        <v>61</v>
      </c>
      <c r="B15" s="1">
        <f t="shared" ref="B15:B16" si="11">B5</f>
        <v>2015</v>
      </c>
      <c r="C15" s="17">
        <f>ROUND(VLOOKUP(B15&amp;"_3",管理者用人口入力シート!A:AA,27,FALSE),0)</f>
        <v>123</v>
      </c>
      <c r="D15" s="12"/>
      <c r="E15" s="12"/>
      <c r="G15" s="1" t="s">
        <v>57</v>
      </c>
      <c r="H15" s="1">
        <f t="shared" ref="H15:H20" si="12">H5</f>
        <v>2015</v>
      </c>
      <c r="I15" s="17">
        <f>C11</f>
        <v>225</v>
      </c>
      <c r="J15" s="12"/>
      <c r="K15" s="12"/>
      <c r="N15" s="1" t="s">
        <v>57</v>
      </c>
      <c r="O15" s="1">
        <f t="shared" ref="O15:O20" si="13">O5</f>
        <v>2015</v>
      </c>
      <c r="P15" s="17">
        <f t="shared" ref="P15:P20" si="14">I15</f>
        <v>225</v>
      </c>
      <c r="Q15" s="17"/>
    </row>
    <row r="16" spans="1:21" x14ac:dyDescent="0.15">
      <c r="A16" s="1" t="s">
        <v>62</v>
      </c>
      <c r="B16" s="1">
        <f t="shared" si="11"/>
        <v>2020</v>
      </c>
      <c r="C16" s="17">
        <f>ROUND(VLOOKUP(B16&amp;"_3",管理者用人口入力シート!A:AA,27,FALSE),0)</f>
        <v>99</v>
      </c>
      <c r="D16" s="12"/>
      <c r="E16" s="12"/>
      <c r="G16" s="1" t="s">
        <v>62</v>
      </c>
      <c r="H16" s="1">
        <f t="shared" si="12"/>
        <v>2020</v>
      </c>
      <c r="I16" s="17">
        <f>C12</f>
        <v>177</v>
      </c>
      <c r="J16" s="12"/>
      <c r="K16" s="12"/>
      <c r="N16" s="1" t="s">
        <v>62</v>
      </c>
      <c r="O16" s="1">
        <f t="shared" si="13"/>
        <v>2020</v>
      </c>
      <c r="P16" s="17">
        <f t="shared" si="14"/>
        <v>177</v>
      </c>
      <c r="Q16" s="17"/>
    </row>
    <row r="17" spans="1:17" x14ac:dyDescent="0.15">
      <c r="G17" s="1" t="s">
        <v>106</v>
      </c>
      <c r="H17" s="1">
        <f t="shared" si="12"/>
        <v>2025</v>
      </c>
      <c r="I17" s="17">
        <f>ROUND(VLOOKUP(H17&amp;"_3",管理者用人口入力シート!BH:CM,26,FALSE),0)</f>
        <v>149</v>
      </c>
      <c r="J17" s="12"/>
      <c r="K17" s="12"/>
      <c r="N17" s="1" t="s">
        <v>106</v>
      </c>
      <c r="O17" s="1">
        <f t="shared" si="13"/>
        <v>2025</v>
      </c>
      <c r="P17" s="17">
        <f t="shared" si="14"/>
        <v>149</v>
      </c>
      <c r="Q17" s="17">
        <f>ROUND(VLOOKUP(H17&amp;"_3",管理者用人口入力シート!CO:DT,26,FALSE),0)</f>
        <v>150</v>
      </c>
    </row>
    <row r="18" spans="1:17" x14ac:dyDescent="0.15">
      <c r="A18" s="69" t="s">
        <v>110</v>
      </c>
      <c r="G18" s="1" t="s">
        <v>107</v>
      </c>
      <c r="H18" s="1">
        <f t="shared" si="12"/>
        <v>2030</v>
      </c>
      <c r="I18" s="17">
        <f>ROUND(VLOOKUP(H18&amp;"_3",管理者用人口入力シート!BH:CM,26,FALSE),0)</f>
        <v>126</v>
      </c>
      <c r="J18" s="12"/>
      <c r="K18" s="12"/>
      <c r="N18" s="1" t="s">
        <v>107</v>
      </c>
      <c r="O18" s="1">
        <f t="shared" si="13"/>
        <v>2030</v>
      </c>
      <c r="P18" s="17">
        <f t="shared" si="14"/>
        <v>126</v>
      </c>
      <c r="Q18" s="17">
        <f>ROUND(VLOOKUP(H18&amp;"_3",管理者用人口入力シート!CO:DT,26,FALSE),0)</f>
        <v>128</v>
      </c>
    </row>
    <row r="19" spans="1:17" x14ac:dyDescent="0.15">
      <c r="A19" s="2" t="s">
        <v>84</v>
      </c>
      <c r="G19" s="1" t="s">
        <v>108</v>
      </c>
      <c r="H19" s="1">
        <f t="shared" si="12"/>
        <v>2035</v>
      </c>
      <c r="I19" s="17">
        <f>ROUND(VLOOKUP(H19&amp;"_3",管理者用人口入力シート!BH:CM,26,FALSE),0)</f>
        <v>100</v>
      </c>
      <c r="J19" s="12"/>
      <c r="K19" s="12"/>
      <c r="N19" s="1" t="s">
        <v>108</v>
      </c>
      <c r="O19" s="1">
        <f t="shared" si="13"/>
        <v>2035</v>
      </c>
      <c r="P19" s="17">
        <f t="shared" si="14"/>
        <v>100</v>
      </c>
      <c r="Q19" s="17">
        <f>ROUND(VLOOKUP(H19&amp;"_3",管理者用人口入力シート!CO:DT,26,FALSE),0)</f>
        <v>104</v>
      </c>
    </row>
    <row r="20" spans="1:17" x14ac:dyDescent="0.15">
      <c r="A20" s="1" t="s">
        <v>58</v>
      </c>
      <c r="B20" s="1">
        <f>B4</f>
        <v>2010</v>
      </c>
      <c r="C20" s="17">
        <f>SUM(B54:C61)</f>
        <v>1583</v>
      </c>
      <c r="D20" s="12"/>
      <c r="E20" s="12"/>
      <c r="G20" s="1" t="s">
        <v>109</v>
      </c>
      <c r="H20" s="1">
        <f t="shared" si="12"/>
        <v>2040</v>
      </c>
      <c r="I20" s="17">
        <f>ROUND(VLOOKUP(H20&amp;"_3",管理者用人口入力シート!BH:CM,26,FALSE),0)</f>
        <v>82</v>
      </c>
      <c r="J20" s="12"/>
      <c r="K20" s="12"/>
      <c r="N20" s="1" t="s">
        <v>109</v>
      </c>
      <c r="O20" s="1">
        <f t="shared" si="13"/>
        <v>2040</v>
      </c>
      <c r="P20" s="17">
        <f t="shared" si="14"/>
        <v>82</v>
      </c>
      <c r="Q20" s="17">
        <f>ROUND(VLOOKUP(H20&amp;"_3",管理者用人口入力シート!CO:DT,26,FALSE),0)</f>
        <v>88</v>
      </c>
    </row>
    <row r="21" spans="1:17" x14ac:dyDescent="0.15">
      <c r="A21" s="1" t="s">
        <v>61</v>
      </c>
      <c r="B21" s="1">
        <f t="shared" ref="B21:B22" si="15">B5</f>
        <v>2015</v>
      </c>
      <c r="C21" s="17">
        <f>SUM(B78:C85)</f>
        <v>1639</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1634</v>
      </c>
      <c r="D22" s="12"/>
      <c r="E22" s="12"/>
      <c r="G22" s="1" t="s">
        <v>58</v>
      </c>
      <c r="H22" s="1">
        <f>H4</f>
        <v>2010</v>
      </c>
      <c r="I22" s="17">
        <f>C14</f>
        <v>134</v>
      </c>
      <c r="J22" s="12"/>
      <c r="K22" s="12"/>
      <c r="N22" s="1" t="s">
        <v>58</v>
      </c>
      <c r="O22" s="1">
        <f>O4</f>
        <v>2010</v>
      </c>
      <c r="P22" s="17">
        <f>I22</f>
        <v>134</v>
      </c>
      <c r="Q22" s="17"/>
    </row>
    <row r="23" spans="1:17" x14ac:dyDescent="0.15">
      <c r="A23" s="2" t="s">
        <v>86</v>
      </c>
      <c r="G23" s="1" t="s">
        <v>57</v>
      </c>
      <c r="H23" s="1">
        <f t="shared" ref="H23:H28" si="16">H5</f>
        <v>2015</v>
      </c>
      <c r="I23" s="17">
        <f t="shared" ref="I23:I24" si="17">C15</f>
        <v>123</v>
      </c>
      <c r="J23" s="12"/>
      <c r="K23" s="12"/>
      <c r="N23" s="1" t="s">
        <v>57</v>
      </c>
      <c r="O23" s="1">
        <f t="shared" ref="O23:O28" si="18">O5</f>
        <v>2015</v>
      </c>
      <c r="P23" s="17">
        <f t="shared" ref="P23:P28" si="19">I23</f>
        <v>123</v>
      </c>
      <c r="Q23" s="17"/>
    </row>
    <row r="24" spans="1:17" x14ac:dyDescent="0.15">
      <c r="A24" s="1" t="s">
        <v>58</v>
      </c>
      <c r="B24" s="1">
        <f>B4</f>
        <v>2010</v>
      </c>
      <c r="C24" s="17">
        <f>SUM(B56:C61)</f>
        <v>902</v>
      </c>
      <c r="D24" s="12"/>
      <c r="E24" s="12"/>
      <c r="G24" s="1" t="s">
        <v>62</v>
      </c>
      <c r="H24" s="1">
        <f t="shared" si="16"/>
        <v>2020</v>
      </c>
      <c r="I24" s="17">
        <f t="shared" si="17"/>
        <v>99</v>
      </c>
      <c r="J24" s="12"/>
      <c r="K24" s="12"/>
      <c r="N24" s="1" t="s">
        <v>62</v>
      </c>
      <c r="O24" s="1">
        <f t="shared" si="18"/>
        <v>2020</v>
      </c>
      <c r="P24" s="17">
        <f t="shared" si="19"/>
        <v>99</v>
      </c>
      <c r="Q24" s="17"/>
    </row>
    <row r="25" spans="1:17" x14ac:dyDescent="0.15">
      <c r="A25" s="1" t="s">
        <v>61</v>
      </c>
      <c r="B25" s="1">
        <f t="shared" ref="B25:B26" si="20">B5</f>
        <v>2015</v>
      </c>
      <c r="C25" s="17">
        <f>SUM(B80:C85)</f>
        <v>880</v>
      </c>
      <c r="D25" s="12"/>
      <c r="E25" s="12"/>
      <c r="G25" s="1" t="s">
        <v>106</v>
      </c>
      <c r="H25" s="1">
        <f t="shared" si="16"/>
        <v>2025</v>
      </c>
      <c r="I25" s="17">
        <f>ROUND(VLOOKUP(H25&amp;"_3",管理者用人口入力シート!BH:CM,27,FALSE),0)</f>
        <v>78</v>
      </c>
      <c r="J25" s="12"/>
      <c r="K25" s="12"/>
      <c r="N25" s="1" t="s">
        <v>106</v>
      </c>
      <c r="O25" s="1">
        <f t="shared" si="18"/>
        <v>2025</v>
      </c>
      <c r="P25" s="17">
        <f t="shared" si="19"/>
        <v>78</v>
      </c>
      <c r="Q25" s="17">
        <f>ROUND(VLOOKUP(H17&amp;"_3",管理者用人口入力シート!CO:DT,27,FALSE),0)</f>
        <v>79</v>
      </c>
    </row>
    <row r="26" spans="1:17" x14ac:dyDescent="0.15">
      <c r="A26" s="1" t="s">
        <v>62</v>
      </c>
      <c r="B26" s="1">
        <f t="shared" si="20"/>
        <v>2020</v>
      </c>
      <c r="C26" s="17">
        <f>SUM(B104:C109)</f>
        <v>838</v>
      </c>
      <c r="D26" s="12"/>
      <c r="E26" s="12"/>
      <c r="G26" s="1" t="s">
        <v>107</v>
      </c>
      <c r="H26" s="1">
        <f t="shared" si="16"/>
        <v>2030</v>
      </c>
      <c r="I26" s="17">
        <f>ROUND(VLOOKUP(H26&amp;"_3",管理者用人口入力シート!BH:CM,27,FALSE),0)</f>
        <v>68</v>
      </c>
      <c r="J26" s="12"/>
      <c r="K26" s="12"/>
      <c r="N26" s="1" t="s">
        <v>107</v>
      </c>
      <c r="O26" s="1">
        <f t="shared" si="18"/>
        <v>2030</v>
      </c>
      <c r="P26" s="17">
        <f t="shared" si="19"/>
        <v>68</v>
      </c>
      <c r="Q26" s="17">
        <f>ROUND(VLOOKUP(H18&amp;"_3",管理者用人口入力シート!CO:DT,27,FALSE),0)</f>
        <v>69</v>
      </c>
    </row>
    <row r="27" spans="1:17" x14ac:dyDescent="0.15">
      <c r="G27" s="1" t="s">
        <v>108</v>
      </c>
      <c r="H27" s="1">
        <f t="shared" si="16"/>
        <v>2035</v>
      </c>
      <c r="I27" s="17">
        <f>ROUND(VLOOKUP(H27&amp;"_3",管理者用人口入力シート!BH:CM,27,FALSE),0)</f>
        <v>56</v>
      </c>
      <c r="J27" s="12"/>
      <c r="K27" s="12"/>
      <c r="N27" s="1" t="s">
        <v>108</v>
      </c>
      <c r="O27" s="1">
        <f t="shared" si="18"/>
        <v>2035</v>
      </c>
      <c r="P27" s="17">
        <f t="shared" si="19"/>
        <v>56</v>
      </c>
      <c r="Q27" s="17">
        <f>ROUND(VLOOKUP(H19&amp;"_3",管理者用人口入力シート!CO:DT,27,FALSE),0)</f>
        <v>57</v>
      </c>
    </row>
    <row r="28" spans="1:17" x14ac:dyDescent="0.15">
      <c r="A28" s="69" t="s">
        <v>85</v>
      </c>
      <c r="G28" s="1" t="s">
        <v>109</v>
      </c>
      <c r="H28" s="1">
        <f t="shared" si="16"/>
        <v>2040</v>
      </c>
      <c r="I28" s="17">
        <f>ROUND(VLOOKUP(H28&amp;"_3",管理者用人口入力シート!BH:CM,27,FALSE),0)</f>
        <v>44</v>
      </c>
      <c r="J28" s="12"/>
      <c r="K28" s="12"/>
      <c r="N28" s="1" t="s">
        <v>109</v>
      </c>
      <c r="O28" s="1">
        <f t="shared" si="18"/>
        <v>2040</v>
      </c>
      <c r="P28" s="17">
        <f t="shared" si="19"/>
        <v>44</v>
      </c>
      <c r="Q28" s="17">
        <f>ROUND(VLOOKUP(H20&amp;"_3",管理者用人口入力シート!CO:DT,27,FALSE),0)</f>
        <v>47</v>
      </c>
    </row>
    <row r="29" spans="1:17" x14ac:dyDescent="0.15">
      <c r="A29" s="2" t="s">
        <v>84</v>
      </c>
    </row>
    <row r="30" spans="1:17" x14ac:dyDescent="0.15">
      <c r="A30" s="1" t="s">
        <v>58</v>
      </c>
      <c r="B30" s="1">
        <f>B4</f>
        <v>2010</v>
      </c>
      <c r="C30" s="38">
        <f>ROUND((SUM(B54:C61)/SUM(B41:C61)),2)</f>
        <v>0.33</v>
      </c>
      <c r="D30" s="204"/>
      <c r="E30" s="204"/>
      <c r="G30" s="69" t="s">
        <v>110</v>
      </c>
      <c r="N30" s="69" t="s">
        <v>110</v>
      </c>
    </row>
    <row r="31" spans="1:17" x14ac:dyDescent="0.15">
      <c r="A31" s="1" t="s">
        <v>61</v>
      </c>
      <c r="B31" s="1">
        <f t="shared" ref="B31:B32" si="21">B5</f>
        <v>2015</v>
      </c>
      <c r="C31" s="38">
        <f>ROUND((SUM(B78:C85)/SUM(B65:C85)),2)</f>
        <v>0.37</v>
      </c>
      <c r="D31" s="204"/>
      <c r="E31" s="204"/>
      <c r="G31" s="2" t="s">
        <v>84</v>
      </c>
      <c r="H31" s="65"/>
      <c r="I31" s="66"/>
      <c r="J31" s="12"/>
      <c r="K31" s="12"/>
      <c r="N31" s="2" t="s">
        <v>84</v>
      </c>
      <c r="O31" s="65"/>
      <c r="P31" s="2" t="s">
        <v>120</v>
      </c>
      <c r="Q31" s="2" t="s">
        <v>119</v>
      </c>
    </row>
    <row r="32" spans="1:17" x14ac:dyDescent="0.15">
      <c r="A32" s="1" t="s">
        <v>62</v>
      </c>
      <c r="B32" s="1">
        <f t="shared" si="21"/>
        <v>2020</v>
      </c>
      <c r="C32" s="38">
        <f>ROUND((SUM(B102:C109)/SUM(B89:C109)),2)</f>
        <v>0.42</v>
      </c>
      <c r="D32" s="204"/>
      <c r="E32" s="204"/>
      <c r="G32" s="1" t="s">
        <v>58</v>
      </c>
      <c r="H32" s="1">
        <f>H4</f>
        <v>2010</v>
      </c>
      <c r="I32" s="17">
        <f>C20</f>
        <v>1583</v>
      </c>
      <c r="J32" s="12"/>
      <c r="K32" s="12"/>
      <c r="N32" s="1" t="s">
        <v>58</v>
      </c>
      <c r="O32" s="1">
        <f>O4</f>
        <v>2010</v>
      </c>
      <c r="P32" s="17">
        <f>I32</f>
        <v>1583</v>
      </c>
      <c r="Q32" s="17"/>
    </row>
    <row r="33" spans="1:17" x14ac:dyDescent="0.15">
      <c r="A33" s="2" t="s">
        <v>86</v>
      </c>
      <c r="G33" s="1" t="s">
        <v>57</v>
      </c>
      <c r="H33" s="1">
        <f t="shared" ref="H33:H38" si="22">H5</f>
        <v>2015</v>
      </c>
      <c r="I33" s="17">
        <f>C21</f>
        <v>1639</v>
      </c>
      <c r="J33" s="12"/>
      <c r="K33" s="12"/>
      <c r="N33" s="1" t="s">
        <v>57</v>
      </c>
      <c r="O33" s="1">
        <f t="shared" ref="O33:O38" si="23">O5</f>
        <v>2015</v>
      </c>
      <c r="P33" s="17">
        <f t="shared" ref="P33:P38" si="24">I33</f>
        <v>1639</v>
      </c>
      <c r="Q33" s="17"/>
    </row>
    <row r="34" spans="1:17" x14ac:dyDescent="0.15">
      <c r="A34" s="1" t="s">
        <v>58</v>
      </c>
      <c r="B34" s="1">
        <f>B4</f>
        <v>2010</v>
      </c>
      <c r="C34" s="38">
        <f>ROUND((SUM(B56:C61)/SUM(B41:C61)),2)</f>
        <v>0.19</v>
      </c>
      <c r="D34" s="204"/>
      <c r="E34" s="204"/>
      <c r="G34" s="1" t="s">
        <v>62</v>
      </c>
      <c r="H34" s="1">
        <f t="shared" si="22"/>
        <v>2020</v>
      </c>
      <c r="I34" s="17">
        <f>C22</f>
        <v>1634</v>
      </c>
      <c r="J34" s="12"/>
      <c r="K34" s="12"/>
      <c r="N34" s="1" t="s">
        <v>62</v>
      </c>
      <c r="O34" s="1">
        <f t="shared" si="23"/>
        <v>2020</v>
      </c>
      <c r="P34" s="17">
        <f t="shared" si="24"/>
        <v>1634</v>
      </c>
      <c r="Q34" s="17"/>
    </row>
    <row r="35" spans="1:17" x14ac:dyDescent="0.15">
      <c r="A35" s="1" t="s">
        <v>61</v>
      </c>
      <c r="B35" s="1">
        <f t="shared" ref="B35:B36" si="25">B5</f>
        <v>2015</v>
      </c>
      <c r="C35" s="38">
        <f>ROUND((SUM(B80:C85)/SUM(B65:C85)),2)</f>
        <v>0.2</v>
      </c>
      <c r="D35" s="204"/>
      <c r="E35" s="204"/>
      <c r="G35" s="1" t="s">
        <v>106</v>
      </c>
      <c r="H35" s="1">
        <f t="shared" si="22"/>
        <v>2025</v>
      </c>
      <c r="I35" s="17">
        <f>SUM(H82:I89)</f>
        <v>1543</v>
      </c>
      <c r="J35" s="12"/>
      <c r="K35" s="12"/>
      <c r="N35" s="1" t="s">
        <v>106</v>
      </c>
      <c r="O35" s="1">
        <f t="shared" si="23"/>
        <v>2025</v>
      </c>
      <c r="P35" s="17">
        <f t="shared" si="24"/>
        <v>1543</v>
      </c>
      <c r="Q35" s="17">
        <f>SUM(O82:P89)</f>
        <v>1543</v>
      </c>
    </row>
    <row r="36" spans="1:17" x14ac:dyDescent="0.15">
      <c r="A36" s="1" t="s">
        <v>62</v>
      </c>
      <c r="B36" s="1">
        <f t="shared" si="25"/>
        <v>2020</v>
      </c>
      <c r="C36" s="38">
        <f>ROUND((SUM(B104:C109)/SUM(B89:C109)),2)</f>
        <v>0.22</v>
      </c>
      <c r="D36" s="204"/>
      <c r="E36" s="204"/>
      <c r="G36" s="1" t="s">
        <v>107</v>
      </c>
      <c r="H36" s="1">
        <f t="shared" si="22"/>
        <v>2030</v>
      </c>
      <c r="I36" s="17">
        <f>SUM(H106:I113)</f>
        <v>1415</v>
      </c>
      <c r="J36" s="12"/>
      <c r="K36" s="12"/>
      <c r="N36" s="1" t="s">
        <v>107</v>
      </c>
      <c r="O36" s="1">
        <f t="shared" si="23"/>
        <v>2030</v>
      </c>
      <c r="P36" s="17">
        <f t="shared" si="24"/>
        <v>1415</v>
      </c>
      <c r="Q36" s="17">
        <f>SUM(O106:P113)</f>
        <v>1415</v>
      </c>
    </row>
    <row r="37" spans="1:17" x14ac:dyDescent="0.15">
      <c r="G37" s="1" t="s">
        <v>108</v>
      </c>
      <c r="H37" s="1">
        <f t="shared" si="22"/>
        <v>2035</v>
      </c>
      <c r="I37" s="17">
        <f>SUM(H130:I137)</f>
        <v>1239</v>
      </c>
      <c r="J37" s="12"/>
      <c r="K37" s="12"/>
      <c r="N37" s="1" t="s">
        <v>108</v>
      </c>
      <c r="O37" s="1">
        <f t="shared" si="23"/>
        <v>2035</v>
      </c>
      <c r="P37" s="17">
        <f t="shared" si="24"/>
        <v>1239</v>
      </c>
      <c r="Q37" s="17">
        <f>SUM(O130:P137)</f>
        <v>1239</v>
      </c>
    </row>
    <row r="38" spans="1:17" x14ac:dyDescent="0.15">
      <c r="A38" s="69" t="s">
        <v>113</v>
      </c>
      <c r="G38" s="1" t="s">
        <v>109</v>
      </c>
      <c r="H38" s="1">
        <f t="shared" si="22"/>
        <v>2040</v>
      </c>
      <c r="I38" s="17">
        <f>SUM(H154:I161)</f>
        <v>1079</v>
      </c>
      <c r="J38" s="12"/>
      <c r="K38" s="12"/>
      <c r="N38" s="1" t="s">
        <v>109</v>
      </c>
      <c r="O38" s="1">
        <f t="shared" si="23"/>
        <v>2040</v>
      </c>
      <c r="P38" s="17">
        <f t="shared" si="24"/>
        <v>1079</v>
      </c>
      <c r="Q38" s="17">
        <f>SUM(O154:P161)</f>
        <v>1079</v>
      </c>
    </row>
    <row r="39" spans="1:17" x14ac:dyDescent="0.15">
      <c r="A39" s="2" t="s">
        <v>383</v>
      </c>
      <c r="B39" s="316">
        <f>管理者入力シート!B7</f>
        <v>2010</v>
      </c>
      <c r="C39" s="317"/>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902</v>
      </c>
      <c r="J40" s="12"/>
      <c r="K40" s="12"/>
      <c r="N40" s="1" t="s">
        <v>58</v>
      </c>
      <c r="O40" s="1">
        <f>O4</f>
        <v>2010</v>
      </c>
      <c r="P40" s="17">
        <f>I40</f>
        <v>902</v>
      </c>
      <c r="Q40" s="17"/>
    </row>
    <row r="41" spans="1:17" x14ac:dyDescent="0.15">
      <c r="A41" s="2" t="s">
        <v>0</v>
      </c>
      <c r="B41" s="17">
        <f>ROUND(VLOOKUP(B$39&amp;"_1",管理者用人口入力シート!A:X,D41,FALSE),0)</f>
        <v>78</v>
      </c>
      <c r="C41" s="17">
        <f>ROUND(VLOOKUP(B$39&amp;"_2",管理者用人口入力シート!A:X,D41,FALSE),0)</f>
        <v>82</v>
      </c>
      <c r="D41" s="2">
        <v>4</v>
      </c>
      <c r="G41" s="1" t="s">
        <v>57</v>
      </c>
      <c r="H41" s="1">
        <f t="shared" ref="H41:H46" si="26">H5</f>
        <v>2015</v>
      </c>
      <c r="I41" s="17">
        <f>C25</f>
        <v>880</v>
      </c>
      <c r="J41" s="12"/>
      <c r="K41" s="12"/>
      <c r="N41" s="1" t="s">
        <v>57</v>
      </c>
      <c r="O41" s="1">
        <f t="shared" ref="O41:O46" si="27">O5</f>
        <v>2015</v>
      </c>
      <c r="P41" s="17">
        <f t="shared" ref="P41:P46" si="28">I41</f>
        <v>880</v>
      </c>
      <c r="Q41" s="17"/>
    </row>
    <row r="42" spans="1:17" x14ac:dyDescent="0.15">
      <c r="A42" s="2" t="s">
        <v>1</v>
      </c>
      <c r="B42" s="17">
        <f>ROUND(VLOOKUP(B$39&amp;"_1",管理者用人口入力シート!A:X,D42,FALSE),0)</f>
        <v>118</v>
      </c>
      <c r="C42" s="17">
        <f>ROUND(VLOOKUP(B$39&amp;"_2",管理者用人口入力シート!A:X,D42,FALSE),0)</f>
        <v>101</v>
      </c>
      <c r="D42" s="2">
        <v>5</v>
      </c>
      <c r="G42" s="1" t="s">
        <v>62</v>
      </c>
      <c r="H42" s="1">
        <f t="shared" si="26"/>
        <v>2020</v>
      </c>
      <c r="I42" s="17">
        <f>C26</f>
        <v>838</v>
      </c>
      <c r="J42" s="12"/>
      <c r="K42" s="12"/>
      <c r="N42" s="1" t="s">
        <v>62</v>
      </c>
      <c r="O42" s="1">
        <f t="shared" si="27"/>
        <v>2020</v>
      </c>
      <c r="P42" s="17">
        <f t="shared" si="28"/>
        <v>838</v>
      </c>
      <c r="Q42" s="17"/>
    </row>
    <row r="43" spans="1:17" x14ac:dyDescent="0.15">
      <c r="A43" s="2" t="s">
        <v>2</v>
      </c>
      <c r="B43" s="17">
        <f>ROUND(VLOOKUP(B$39&amp;"_1",管理者用人口入力シート!A:X,D43,FALSE),0)</f>
        <v>112</v>
      </c>
      <c r="C43" s="17">
        <f>ROUND(VLOOKUP(B$39&amp;"_2",管理者用人口入力シート!A:X,D43,FALSE),0)</f>
        <v>114</v>
      </c>
      <c r="D43" s="2">
        <v>6</v>
      </c>
      <c r="G43" s="1" t="s">
        <v>106</v>
      </c>
      <c r="H43" s="1">
        <f t="shared" si="26"/>
        <v>2025</v>
      </c>
      <c r="I43" s="17">
        <f>SUM(H84:I89)</f>
        <v>856</v>
      </c>
      <c r="J43" s="12"/>
      <c r="K43" s="12"/>
      <c r="N43" s="1" t="s">
        <v>106</v>
      </c>
      <c r="O43" s="1">
        <f t="shared" si="27"/>
        <v>2025</v>
      </c>
      <c r="P43" s="17">
        <f t="shared" si="28"/>
        <v>856</v>
      </c>
      <c r="Q43" s="17">
        <f>SUM(O84:P89)</f>
        <v>856</v>
      </c>
    </row>
    <row r="44" spans="1:17" x14ac:dyDescent="0.15">
      <c r="A44" s="2" t="s">
        <v>3</v>
      </c>
      <c r="B44" s="17">
        <f>ROUND(VLOOKUP(B$39&amp;"_1",管理者用人口入力シート!A:X,D44,FALSE),0)</f>
        <v>119</v>
      </c>
      <c r="C44" s="17">
        <f>ROUND(VLOOKUP(B$39&amp;"_2",管理者用人口入力シート!A:X,D44,FALSE),0)</f>
        <v>102</v>
      </c>
      <c r="D44" s="2">
        <v>7</v>
      </c>
      <c r="G44" s="1" t="s">
        <v>107</v>
      </c>
      <c r="H44" s="1">
        <f t="shared" si="26"/>
        <v>2030</v>
      </c>
      <c r="I44" s="17">
        <f>SUM(H108:I113)</f>
        <v>863</v>
      </c>
      <c r="J44" s="12"/>
      <c r="K44" s="12"/>
      <c r="N44" s="1" t="s">
        <v>107</v>
      </c>
      <c r="O44" s="1">
        <f t="shared" si="27"/>
        <v>2030</v>
      </c>
      <c r="P44" s="17">
        <f t="shared" si="28"/>
        <v>863</v>
      </c>
      <c r="Q44" s="17">
        <f>SUM(O108:P113)</f>
        <v>863</v>
      </c>
    </row>
    <row r="45" spans="1:17" x14ac:dyDescent="0.15">
      <c r="A45" s="2" t="s">
        <v>4</v>
      </c>
      <c r="B45" s="17">
        <f>ROUND(VLOOKUP(B$39&amp;"_1",管理者用人口入力シート!A:X,D45,FALSE),0)</f>
        <v>71</v>
      </c>
      <c r="C45" s="17">
        <f>ROUND(VLOOKUP(B$39&amp;"_2",管理者用人口入力シート!A:X,D45,FALSE),0)</f>
        <v>90</v>
      </c>
      <c r="D45" s="2">
        <v>8</v>
      </c>
      <c r="G45" s="1" t="s">
        <v>108</v>
      </c>
      <c r="H45" s="1">
        <f t="shared" si="26"/>
        <v>2035</v>
      </c>
      <c r="I45" s="17">
        <f>SUM(H132:I137)</f>
        <v>804</v>
      </c>
      <c r="J45" s="12"/>
      <c r="K45" s="12"/>
      <c r="N45" s="1" t="s">
        <v>108</v>
      </c>
      <c r="O45" s="1">
        <f t="shared" si="27"/>
        <v>2035</v>
      </c>
      <c r="P45" s="17">
        <f t="shared" si="28"/>
        <v>804</v>
      </c>
      <c r="Q45" s="17">
        <f>SUM(O132:P137)</f>
        <v>804</v>
      </c>
    </row>
    <row r="46" spans="1:17" x14ac:dyDescent="0.15">
      <c r="A46" s="2" t="s">
        <v>5</v>
      </c>
      <c r="B46" s="17">
        <f>ROUND(VLOOKUP(B$39&amp;"_1",管理者用人口入力シート!A:X,D46,FALSE),0)</f>
        <v>121</v>
      </c>
      <c r="C46" s="17">
        <f>ROUND(VLOOKUP(B$39&amp;"_2",管理者用人口入力シート!A:X,D46,FALSE),0)</f>
        <v>87</v>
      </c>
      <c r="D46" s="2">
        <v>9</v>
      </c>
      <c r="G46" s="1" t="s">
        <v>109</v>
      </c>
      <c r="H46" s="1">
        <f t="shared" si="26"/>
        <v>2040</v>
      </c>
      <c r="I46" s="17">
        <f>SUM(H156:I161)</f>
        <v>704</v>
      </c>
      <c r="J46" s="12"/>
      <c r="K46" s="12"/>
      <c r="N46" s="1" t="s">
        <v>109</v>
      </c>
      <c r="O46" s="1">
        <f t="shared" si="27"/>
        <v>2040</v>
      </c>
      <c r="P46" s="17">
        <f t="shared" si="28"/>
        <v>704</v>
      </c>
      <c r="Q46" s="17">
        <f>SUM(O156:P161)</f>
        <v>704</v>
      </c>
    </row>
    <row r="47" spans="1:17" x14ac:dyDescent="0.15">
      <c r="A47" s="2" t="s">
        <v>6</v>
      </c>
      <c r="B47" s="17">
        <f>ROUND(VLOOKUP(B$39&amp;"_1",管理者用人口入力シート!A:X,D47,FALSE),0)</f>
        <v>93</v>
      </c>
      <c r="C47" s="17">
        <f>ROUND(VLOOKUP(B$39&amp;"_2",管理者用人口入力シート!A:X,D47,FALSE),0)</f>
        <v>98</v>
      </c>
      <c r="D47" s="2">
        <v>10</v>
      </c>
    </row>
    <row r="48" spans="1:17" x14ac:dyDescent="0.15">
      <c r="A48" s="2" t="s">
        <v>7</v>
      </c>
      <c r="B48" s="17">
        <f>ROUND(VLOOKUP(B$39&amp;"_1",管理者用人口入力シート!A:X,D48,FALSE),0)</f>
        <v>105</v>
      </c>
      <c r="C48" s="17">
        <f>ROUND(VLOOKUP(B$39&amp;"_2",管理者用人口入力シート!A:X,D48,FALSE),0)</f>
        <v>106</v>
      </c>
      <c r="D48" s="2">
        <v>11</v>
      </c>
      <c r="G48" s="69" t="s">
        <v>85</v>
      </c>
      <c r="N48" s="69" t="s">
        <v>85</v>
      </c>
    </row>
    <row r="49" spans="1:17" x14ac:dyDescent="0.15">
      <c r="A49" s="2" t="s">
        <v>8</v>
      </c>
      <c r="B49" s="17">
        <f>ROUND(VLOOKUP(B$39&amp;"_1",管理者用人口入力シート!A:X,D49,FALSE),0)</f>
        <v>108</v>
      </c>
      <c r="C49" s="17">
        <f>ROUND(VLOOKUP(B$39&amp;"_2",管理者用人口入力シート!A:X,D49,FALSE),0)</f>
        <v>122</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132</v>
      </c>
      <c r="C50" s="17">
        <f>ROUND(VLOOKUP(B$39&amp;"_2",管理者用人口入力シート!A:X,D50,FALSE),0)</f>
        <v>147</v>
      </c>
      <c r="D50" s="2">
        <v>13</v>
      </c>
      <c r="G50" s="1" t="s">
        <v>58</v>
      </c>
      <c r="H50" s="1">
        <f>H4</f>
        <v>2010</v>
      </c>
      <c r="I50" s="38">
        <f>C30</f>
        <v>0.33</v>
      </c>
      <c r="J50" s="204"/>
      <c r="K50" s="204"/>
      <c r="N50" s="1" t="s">
        <v>58</v>
      </c>
      <c r="O50" s="1">
        <f>O4</f>
        <v>2010</v>
      </c>
      <c r="P50" s="38">
        <f t="shared" ref="P50:P56" si="29">I50</f>
        <v>0.33</v>
      </c>
      <c r="Q50" s="1"/>
    </row>
    <row r="51" spans="1:17" x14ac:dyDescent="0.15">
      <c r="A51" s="2" t="s">
        <v>10</v>
      </c>
      <c r="B51" s="17">
        <f>ROUND(VLOOKUP(B$39&amp;"_1",管理者用人口入力シート!A:X,D51,FALSE),0)</f>
        <v>161</v>
      </c>
      <c r="C51" s="17">
        <f>ROUND(VLOOKUP(B$39&amp;"_2",管理者用人口入力シート!A:X,D51,FALSE),0)</f>
        <v>174</v>
      </c>
      <c r="D51" s="2">
        <v>14</v>
      </c>
      <c r="G51" s="1" t="s">
        <v>57</v>
      </c>
      <c r="H51" s="1">
        <f t="shared" ref="H51:H56" si="30">H5</f>
        <v>2015</v>
      </c>
      <c r="I51" s="38">
        <f t="shared" ref="I51:I52" si="31">C31</f>
        <v>0.37</v>
      </c>
      <c r="J51" s="204"/>
      <c r="K51" s="204"/>
      <c r="N51" s="1" t="s">
        <v>57</v>
      </c>
      <c r="O51" s="1">
        <f t="shared" ref="O51:O56" si="32">O5</f>
        <v>2015</v>
      </c>
      <c r="P51" s="38">
        <f t="shared" si="29"/>
        <v>0.37</v>
      </c>
      <c r="Q51" s="1"/>
    </row>
    <row r="52" spans="1:17" x14ac:dyDescent="0.15">
      <c r="A52" s="2" t="s">
        <v>11</v>
      </c>
      <c r="B52" s="17">
        <f>ROUND(VLOOKUP(B$39&amp;"_1",管理者用人口入力シート!A:X,D52,FALSE),0)</f>
        <v>214</v>
      </c>
      <c r="C52" s="17">
        <f>ROUND(VLOOKUP(B$39&amp;"_2",管理者用人口入力シート!A:X,D52,FALSE),0)</f>
        <v>196</v>
      </c>
      <c r="D52" s="2">
        <v>15</v>
      </c>
      <c r="G52" s="1" t="s">
        <v>62</v>
      </c>
      <c r="H52" s="1">
        <f t="shared" si="30"/>
        <v>2020</v>
      </c>
      <c r="I52" s="38">
        <f t="shared" si="31"/>
        <v>0.42</v>
      </c>
      <c r="J52" s="204"/>
      <c r="K52" s="204"/>
      <c r="N52" s="1" t="s">
        <v>62</v>
      </c>
      <c r="O52" s="1">
        <f t="shared" si="32"/>
        <v>2020</v>
      </c>
      <c r="P52" s="38">
        <f t="shared" si="29"/>
        <v>0.42</v>
      </c>
      <c r="Q52" s="1"/>
    </row>
    <row r="53" spans="1:17" x14ac:dyDescent="0.15">
      <c r="A53" s="2" t="s">
        <v>12</v>
      </c>
      <c r="B53" s="17">
        <f>ROUND(VLOOKUP(B$39&amp;"_1",管理者用人口入力シート!A:X,D53,FALSE),0)</f>
        <v>212</v>
      </c>
      <c r="C53" s="17">
        <f>ROUND(VLOOKUP(B$39&amp;"_2",管理者用人口入力シート!A:X,D53,FALSE),0)</f>
        <v>221</v>
      </c>
      <c r="D53" s="2">
        <v>16</v>
      </c>
      <c r="G53" s="1" t="s">
        <v>106</v>
      </c>
      <c r="H53" s="1">
        <f t="shared" si="30"/>
        <v>2025</v>
      </c>
      <c r="I53" s="38">
        <f>ROUND((SUM(H82:I89)/SUM(H69:I89)),2)</f>
        <v>0.45</v>
      </c>
      <c r="J53" s="204"/>
      <c r="K53" s="204"/>
      <c r="L53" s="70"/>
      <c r="M53" s="70"/>
      <c r="N53" s="1" t="s">
        <v>106</v>
      </c>
      <c r="O53" s="1">
        <f t="shared" si="32"/>
        <v>2025</v>
      </c>
      <c r="P53" s="38">
        <f t="shared" si="29"/>
        <v>0.45</v>
      </c>
      <c r="Q53" s="38">
        <f>ROUND((SUM(O82:P89)/SUM(O69:P89)),2)</f>
        <v>0.45</v>
      </c>
    </row>
    <row r="54" spans="1:17" x14ac:dyDescent="0.15">
      <c r="A54" s="2" t="s">
        <v>13</v>
      </c>
      <c r="B54" s="17">
        <f>ROUND(VLOOKUP(B$39&amp;"_1",管理者用人口入力シート!A:X,D54,FALSE),0)</f>
        <v>159</v>
      </c>
      <c r="C54" s="17">
        <f>ROUND(VLOOKUP(B$39&amp;"_2",管理者用人口入力シート!A:X,D54,FALSE),0)</f>
        <v>190</v>
      </c>
      <c r="D54" s="2">
        <v>17</v>
      </c>
      <c r="G54" s="1" t="s">
        <v>107</v>
      </c>
      <c r="H54" s="1">
        <f t="shared" si="30"/>
        <v>2030</v>
      </c>
      <c r="I54" s="38">
        <f>ROUND((SUM(H106:I113)/SUM(H93:I113)),2)</f>
        <v>0.48</v>
      </c>
      <c r="J54" s="204"/>
      <c r="K54" s="204"/>
      <c r="N54" s="1" t="s">
        <v>107</v>
      </c>
      <c r="O54" s="1">
        <f t="shared" si="32"/>
        <v>2030</v>
      </c>
      <c r="P54" s="38">
        <f t="shared" si="29"/>
        <v>0.48</v>
      </c>
      <c r="Q54" s="38">
        <f>ROUND((SUM(O106:P113)/SUM(O93:P113)),2)</f>
        <v>0.48</v>
      </c>
    </row>
    <row r="55" spans="1:17" x14ac:dyDescent="0.15">
      <c r="A55" s="2" t="s">
        <v>14</v>
      </c>
      <c r="B55" s="17">
        <f>ROUND(VLOOKUP(B$39&amp;"_1",管理者用人口入力シート!A:X,D55,FALSE),0)</f>
        <v>161</v>
      </c>
      <c r="C55" s="17">
        <f>ROUND(VLOOKUP(B$39&amp;"_2",管理者用人口入力シート!A:X,D55,FALSE),0)</f>
        <v>171</v>
      </c>
      <c r="D55" s="2">
        <v>18</v>
      </c>
      <c r="G55" s="1" t="s">
        <v>108</v>
      </c>
      <c r="H55" s="1">
        <f t="shared" si="30"/>
        <v>2035</v>
      </c>
      <c r="I55" s="38">
        <f>ROUND((SUM(H130:I137)/SUM(H117:I137)),2)</f>
        <v>0.49</v>
      </c>
      <c r="J55" s="204"/>
      <c r="K55" s="204"/>
      <c r="N55" s="1" t="s">
        <v>108</v>
      </c>
      <c r="O55" s="1">
        <f t="shared" si="32"/>
        <v>2035</v>
      </c>
      <c r="P55" s="38">
        <f t="shared" si="29"/>
        <v>0.49</v>
      </c>
      <c r="Q55" s="38">
        <f>ROUND((SUM(O130:P137)/SUM(O117:P137)),2)</f>
        <v>0.49</v>
      </c>
    </row>
    <row r="56" spans="1:17" x14ac:dyDescent="0.15">
      <c r="A56" s="2" t="s">
        <v>15</v>
      </c>
      <c r="B56" s="17">
        <f>ROUND(VLOOKUP(B$39&amp;"_1",管理者用人口入力シート!A:X,D56,FALSE),0)</f>
        <v>150</v>
      </c>
      <c r="C56" s="17">
        <f>ROUND(VLOOKUP(B$39&amp;"_2",管理者用人口入力シート!A:X,D56,FALSE),0)</f>
        <v>192</v>
      </c>
      <c r="D56" s="2">
        <v>19</v>
      </c>
      <c r="G56" s="1" t="s">
        <v>109</v>
      </c>
      <c r="H56" s="1">
        <f t="shared" si="30"/>
        <v>2040</v>
      </c>
      <c r="I56" s="38">
        <f>ROUND((SUM(H154:I161)/SUM(H141:I161)),2)</f>
        <v>0.51</v>
      </c>
      <c r="J56" s="204"/>
      <c r="K56" s="204"/>
      <c r="N56" s="1" t="s">
        <v>109</v>
      </c>
      <c r="O56" s="1">
        <f t="shared" si="32"/>
        <v>2040</v>
      </c>
      <c r="P56" s="38">
        <f t="shared" si="29"/>
        <v>0.51</v>
      </c>
      <c r="Q56" s="38">
        <f>ROUND((SUM(O154:P161)/SUM(O141:P161)),2)</f>
        <v>0.5</v>
      </c>
    </row>
    <row r="57" spans="1:17" x14ac:dyDescent="0.15">
      <c r="A57" s="2" t="s">
        <v>16</v>
      </c>
      <c r="B57" s="17">
        <f>ROUND(VLOOKUP(B$39&amp;"_1",管理者用人口入力シート!A:X,D57,FALSE),0)</f>
        <v>102</v>
      </c>
      <c r="C57" s="17">
        <f>ROUND(VLOOKUP(B$39&amp;"_2",管理者用人口入力シート!A:X,D57,FALSE),0)</f>
        <v>186</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49</v>
      </c>
      <c r="C58" s="17">
        <f>ROUND(VLOOKUP(B$39&amp;"_2",管理者用人口入力シート!A:X,D58,FALSE),0)</f>
        <v>126</v>
      </c>
      <c r="D58" s="2">
        <v>21</v>
      </c>
      <c r="G58" s="1" t="s">
        <v>58</v>
      </c>
      <c r="H58" s="1">
        <f>H4</f>
        <v>2010</v>
      </c>
      <c r="I58" s="38">
        <f>C34</f>
        <v>0.19</v>
      </c>
      <c r="J58" s="204"/>
      <c r="K58" s="204"/>
      <c r="N58" s="1" t="s">
        <v>58</v>
      </c>
      <c r="O58" s="1">
        <f>O4</f>
        <v>2010</v>
      </c>
      <c r="P58" s="38">
        <f t="shared" ref="P58:P64" si="33">I58</f>
        <v>0.19</v>
      </c>
      <c r="Q58" s="1"/>
    </row>
    <row r="59" spans="1:17" x14ac:dyDescent="0.15">
      <c r="A59" s="2" t="s">
        <v>18</v>
      </c>
      <c r="B59" s="17">
        <f>ROUND(VLOOKUP(B$39&amp;"_1",管理者用人口入力シート!A:X,D59,FALSE),0)</f>
        <v>21</v>
      </c>
      <c r="C59" s="17">
        <f>ROUND(VLOOKUP(B$39&amp;"_2",管理者用人口入力シート!A:X,D59,FALSE),0)</f>
        <v>53</v>
      </c>
      <c r="D59" s="2">
        <v>22</v>
      </c>
      <c r="G59" s="1" t="s">
        <v>57</v>
      </c>
      <c r="H59" s="1">
        <f t="shared" ref="H59:H64" si="34">H5</f>
        <v>2015</v>
      </c>
      <c r="I59" s="38">
        <f t="shared" ref="I59:I60" si="35">C35</f>
        <v>0.2</v>
      </c>
      <c r="J59" s="204"/>
      <c r="K59" s="204"/>
      <c r="N59" s="1" t="s">
        <v>57</v>
      </c>
      <c r="O59" s="1">
        <f t="shared" ref="O59:O64" si="36">O5</f>
        <v>2015</v>
      </c>
      <c r="P59" s="38">
        <f t="shared" si="33"/>
        <v>0.2</v>
      </c>
      <c r="Q59" s="1"/>
    </row>
    <row r="60" spans="1:17" x14ac:dyDescent="0.15">
      <c r="A60" s="2" t="s">
        <v>19</v>
      </c>
      <c r="B60" s="17">
        <f>ROUND(VLOOKUP(B$39&amp;"_1",管理者用人口入力シート!A:X,D60,FALSE),0)</f>
        <v>1</v>
      </c>
      <c r="C60" s="17">
        <f>ROUND(VLOOKUP(B$39&amp;"_2",管理者用人口入力シート!A:X,D60,FALSE),0)</f>
        <v>21</v>
      </c>
      <c r="D60" s="2">
        <v>23</v>
      </c>
      <c r="G60" s="1" t="s">
        <v>62</v>
      </c>
      <c r="H60" s="1">
        <f t="shared" si="34"/>
        <v>2020</v>
      </c>
      <c r="I60" s="38">
        <f t="shared" si="35"/>
        <v>0.22</v>
      </c>
      <c r="J60" s="204"/>
      <c r="K60" s="204"/>
      <c r="N60" s="1" t="s">
        <v>62</v>
      </c>
      <c r="O60" s="1">
        <f t="shared" si="36"/>
        <v>2020</v>
      </c>
      <c r="P60" s="38">
        <f t="shared" si="33"/>
        <v>0.22</v>
      </c>
      <c r="Q60" s="1"/>
    </row>
    <row r="61" spans="1:17" x14ac:dyDescent="0.15">
      <c r="A61" s="2" t="s">
        <v>20</v>
      </c>
      <c r="B61" s="17">
        <f>ROUND(VLOOKUP(B$39&amp;"_1",管理者用人口入力シート!A:X,D61,FALSE),0)</f>
        <v>1</v>
      </c>
      <c r="C61" s="17">
        <f>ROUND(VLOOKUP(B$39&amp;"_2",管理者用人口入力シート!A:X,D61,FALSE),0)</f>
        <v>0</v>
      </c>
      <c r="D61" s="2">
        <v>24</v>
      </c>
      <c r="G61" s="1" t="s">
        <v>106</v>
      </c>
      <c r="H61" s="1">
        <f t="shared" si="34"/>
        <v>2025</v>
      </c>
      <c r="I61" s="38">
        <f>ROUND((SUM(H84:I89)/SUM(H69:I89)),2)</f>
        <v>0.25</v>
      </c>
      <c r="J61" s="204"/>
      <c r="K61" s="204"/>
      <c r="N61" s="1" t="s">
        <v>106</v>
      </c>
      <c r="O61" s="1">
        <f t="shared" si="36"/>
        <v>2025</v>
      </c>
      <c r="P61" s="38">
        <f t="shared" si="33"/>
        <v>0.25</v>
      </c>
      <c r="Q61" s="38">
        <f>ROUND((SUM(O84:P89)/SUM(O69:P89)),2)</f>
        <v>0.25</v>
      </c>
    </row>
    <row r="62" spans="1:17" x14ac:dyDescent="0.15">
      <c r="G62" s="1" t="s">
        <v>107</v>
      </c>
      <c r="H62" s="1">
        <f t="shared" si="34"/>
        <v>2030</v>
      </c>
      <c r="I62" s="38">
        <f>ROUND((SUM(H108:I113)/SUM(H93:I113)),2)</f>
        <v>0.28999999999999998</v>
      </c>
      <c r="J62" s="204"/>
      <c r="K62" s="204"/>
      <c r="N62" s="1" t="s">
        <v>107</v>
      </c>
      <c r="O62" s="1">
        <f t="shared" si="36"/>
        <v>2030</v>
      </c>
      <c r="P62" s="38">
        <f t="shared" si="33"/>
        <v>0.28999999999999998</v>
      </c>
      <c r="Q62" s="38">
        <f>ROUND((SUM(O108:P113)/SUM(O93:P113)),2)</f>
        <v>0.28999999999999998</v>
      </c>
    </row>
    <row r="63" spans="1:17" x14ac:dyDescent="0.15">
      <c r="A63" s="2" t="s">
        <v>384</v>
      </c>
      <c r="B63" s="316">
        <f>管理者入力シート!B6</f>
        <v>2015</v>
      </c>
      <c r="C63" s="317"/>
      <c r="D63" s="2" t="s">
        <v>114</v>
      </c>
      <c r="G63" s="1" t="s">
        <v>108</v>
      </c>
      <c r="H63" s="1">
        <f t="shared" si="34"/>
        <v>2035</v>
      </c>
      <c r="I63" s="38">
        <f>ROUND((SUM(H132:I137)/SUM(H117:I137)),2)</f>
        <v>0.32</v>
      </c>
      <c r="J63" s="204"/>
      <c r="K63" s="204"/>
      <c r="N63" s="1" t="s">
        <v>108</v>
      </c>
      <c r="O63" s="1">
        <f t="shared" si="36"/>
        <v>2035</v>
      </c>
      <c r="P63" s="38">
        <f t="shared" si="33"/>
        <v>0.32</v>
      </c>
      <c r="Q63" s="38">
        <f>ROUND((SUM(O132:P137)/SUM(O117:P137)),2)</f>
        <v>0.32</v>
      </c>
    </row>
    <row r="64" spans="1:17" x14ac:dyDescent="0.15">
      <c r="A64" s="2" t="s">
        <v>115</v>
      </c>
      <c r="B64" s="18" t="s">
        <v>21</v>
      </c>
      <c r="C64" s="18" t="s">
        <v>22</v>
      </c>
      <c r="G64" s="1" t="s">
        <v>109</v>
      </c>
      <c r="H64" s="1">
        <f t="shared" si="34"/>
        <v>2040</v>
      </c>
      <c r="I64" s="38">
        <f>ROUND((SUM(H156:I161)/SUM(H141:I161)),2)</f>
        <v>0.33</v>
      </c>
      <c r="J64" s="204"/>
      <c r="K64" s="204"/>
      <c r="N64" s="1" t="s">
        <v>109</v>
      </c>
      <c r="O64" s="1">
        <f t="shared" si="36"/>
        <v>2040</v>
      </c>
      <c r="P64" s="38">
        <f t="shared" si="33"/>
        <v>0.33</v>
      </c>
      <c r="Q64" s="38">
        <f>ROUND((SUM(O156:P161)/SUM(O141:P161)),2)</f>
        <v>0.33</v>
      </c>
    </row>
    <row r="65" spans="1:21" x14ac:dyDescent="0.15">
      <c r="A65" s="2" t="s">
        <v>0</v>
      </c>
      <c r="B65" s="17">
        <f>ROUND(VLOOKUP(B$63&amp;"_1",管理者用人口入力シート!A:X,D65,FALSE),0)</f>
        <v>54</v>
      </c>
      <c r="C65" s="17">
        <f>ROUND(VLOOKUP(B$63&amp;"_2",管理者用人口入力シート!A:X,D65,FALSE),0)</f>
        <v>68</v>
      </c>
      <c r="D65" s="2">
        <v>4</v>
      </c>
    </row>
    <row r="66" spans="1:21" x14ac:dyDescent="0.15">
      <c r="A66" s="2" t="s">
        <v>1</v>
      </c>
      <c r="B66" s="17">
        <f>ROUND(VLOOKUP(B$63&amp;"_1",管理者用人口入力シート!A:X,D66,FALSE),0)</f>
        <v>85</v>
      </c>
      <c r="C66" s="17">
        <f>ROUND(VLOOKUP(B$63&amp;"_2",管理者用人口入力シート!A:X,D66,FALSE),0)</f>
        <v>78</v>
      </c>
      <c r="D66" s="2">
        <v>5</v>
      </c>
      <c r="G66" s="69" t="s">
        <v>113</v>
      </c>
      <c r="N66" s="69" t="s">
        <v>113</v>
      </c>
    </row>
    <row r="67" spans="1:21" x14ac:dyDescent="0.15">
      <c r="A67" s="2" t="s">
        <v>2</v>
      </c>
      <c r="B67" s="17">
        <f>ROUND(VLOOKUP(B$63&amp;"_1",管理者用人口入力シート!A:X,D67,FALSE),0)</f>
        <v>111</v>
      </c>
      <c r="C67" s="17">
        <f>ROUND(VLOOKUP(B$63&amp;"_2",管理者用人口入力シート!A:X,D67,FALSE),0)</f>
        <v>101</v>
      </c>
      <c r="D67" s="2">
        <v>6</v>
      </c>
      <c r="G67" s="2" t="s">
        <v>106</v>
      </c>
      <c r="H67" s="316">
        <f>管理者入力シート!B8</f>
        <v>2025</v>
      </c>
      <c r="I67" s="317"/>
      <c r="J67" s="2" t="s">
        <v>114</v>
      </c>
      <c r="K67" s="208"/>
      <c r="O67" s="316">
        <f>管理者入力シート!B8</f>
        <v>2025</v>
      </c>
      <c r="P67" s="317"/>
      <c r="Q67" s="2" t="s">
        <v>114</v>
      </c>
    </row>
    <row r="68" spans="1:21" x14ac:dyDescent="0.15">
      <c r="A68" s="2" t="s">
        <v>3</v>
      </c>
      <c r="B68" s="17">
        <f>ROUND(VLOOKUP(B$63&amp;"_1",管理者用人口入力シート!A:X,D68,FALSE),0)</f>
        <v>93</v>
      </c>
      <c r="C68" s="17">
        <f>ROUND(VLOOKUP(B$63&amp;"_2",管理者用人口入力シート!A:X,D68,FALSE),0)</f>
        <v>99</v>
      </c>
      <c r="D68" s="2">
        <v>7</v>
      </c>
      <c r="G68" s="2" t="s">
        <v>115</v>
      </c>
      <c r="H68" s="18" t="s">
        <v>243</v>
      </c>
      <c r="I68" s="18" t="s">
        <v>244</v>
      </c>
      <c r="K68" s="208"/>
      <c r="N68" s="2" t="s">
        <v>115</v>
      </c>
      <c r="O68" s="18" t="s">
        <v>21</v>
      </c>
      <c r="P68" s="18" t="s">
        <v>22</v>
      </c>
    </row>
    <row r="69" spans="1:21" x14ac:dyDescent="0.15">
      <c r="A69" s="2" t="s">
        <v>4</v>
      </c>
      <c r="B69" s="17">
        <f>ROUND(VLOOKUP(B$63&amp;"_1",管理者用人口入力シート!A:X,D69,FALSE),0)</f>
        <v>65</v>
      </c>
      <c r="C69" s="17">
        <f>ROUND(VLOOKUP(B$63&amp;"_2",管理者用人口入力シート!A:X,D69,FALSE),0)</f>
        <v>60</v>
      </c>
      <c r="D69" s="2">
        <v>8</v>
      </c>
      <c r="G69" s="2" t="s">
        <v>0</v>
      </c>
      <c r="H69" s="17">
        <f>ROUND(VLOOKUP(H$67&amp;"_1",管理者用人口入力シート!BH:CE,J69,FALSE),0)</f>
        <v>47</v>
      </c>
      <c r="I69" s="17">
        <f>ROUND(VLOOKUP(H$67&amp;"_2",管理者用人口入力シート!BH:CE,J69,FALSE),0)</f>
        <v>41</v>
      </c>
      <c r="J69" s="2">
        <v>4</v>
      </c>
      <c r="K69" s="12"/>
      <c r="N69" s="2" t="s">
        <v>0</v>
      </c>
      <c r="O69" s="17">
        <f>ROUND(VLOOKUP(O$67&amp;"_1",管理者用人口入力シート!CO:DL,Q69,FALSE),0)</f>
        <v>48</v>
      </c>
      <c r="P69" s="17">
        <f>ROUND(VLOOKUP(O$67&amp;"_2",管理者用人口入力シート!CO:DL,Q69,FALSE),0)</f>
        <v>42</v>
      </c>
      <c r="Q69" s="2">
        <v>4</v>
      </c>
      <c r="U69" s="85"/>
    </row>
    <row r="70" spans="1:21" x14ac:dyDescent="0.15">
      <c r="A70" s="2" t="s">
        <v>5</v>
      </c>
      <c r="B70" s="17">
        <f>ROUND(VLOOKUP(B$63&amp;"_1",管理者用人口入力シート!A:X,D70,FALSE),0)</f>
        <v>61</v>
      </c>
      <c r="C70" s="17">
        <f>ROUND(VLOOKUP(B$63&amp;"_2",管理者用人口入力シート!A:X,D70,FALSE),0)</f>
        <v>81</v>
      </c>
      <c r="D70" s="2">
        <v>9</v>
      </c>
      <c r="G70" s="2" t="s">
        <v>1</v>
      </c>
      <c r="H70" s="17">
        <f>ROUND(VLOOKUP(H$67&amp;"_1",管理者用人口入力シート!BH:CE,J70,FALSE),0)</f>
        <v>69</v>
      </c>
      <c r="I70" s="17">
        <f>ROUND(VLOOKUP(H$67&amp;"_2",管理者用人口入力シート!BH:CE,J70,FALSE),0)</f>
        <v>49</v>
      </c>
      <c r="J70" s="2">
        <v>5</v>
      </c>
      <c r="K70" s="12"/>
      <c r="N70" s="2" t="s">
        <v>1</v>
      </c>
      <c r="O70" s="17">
        <f>ROUND(VLOOKUP(O$67&amp;"_1",管理者用人口入力シート!CO:DL,Q70,FALSE),0)</f>
        <v>69</v>
      </c>
      <c r="P70" s="17">
        <f>ROUND(VLOOKUP(O$67&amp;"_2",管理者用人口入力シート!CO:DL,Q70,FALSE),0)</f>
        <v>49</v>
      </c>
      <c r="Q70" s="2">
        <v>5</v>
      </c>
      <c r="U70" s="85"/>
    </row>
    <row r="71" spans="1:21" x14ac:dyDescent="0.15">
      <c r="A71" s="2" t="s">
        <v>6</v>
      </c>
      <c r="B71" s="17">
        <f>ROUND(VLOOKUP(B$63&amp;"_1",管理者用人口入力シート!A:X,D71,FALSE),0)</f>
        <v>109</v>
      </c>
      <c r="C71" s="17">
        <f>ROUND(VLOOKUP(B$63&amp;"_2",管理者用人口入力シート!A:X,D71,FALSE),0)</f>
        <v>82</v>
      </c>
      <c r="D71" s="2">
        <v>10</v>
      </c>
      <c r="G71" s="2" t="s">
        <v>2</v>
      </c>
      <c r="H71" s="17">
        <f>ROUND(VLOOKUP(H$67&amp;"_1",管理者用人口入力シート!BH:CE,J71,FALSE),0)</f>
        <v>65</v>
      </c>
      <c r="I71" s="17">
        <f>ROUND(VLOOKUP(H$67&amp;"_2",管理者用人口入力シート!BH:CE,J71,FALSE),0)</f>
        <v>64</v>
      </c>
      <c r="J71" s="2">
        <v>6</v>
      </c>
      <c r="K71" s="12"/>
      <c r="N71" s="2" t="s">
        <v>2</v>
      </c>
      <c r="O71" s="17">
        <f>ROUND(VLOOKUP(O$67&amp;"_1",管理者用人口入力シート!CO:DL,Q71,FALSE),0)</f>
        <v>66</v>
      </c>
      <c r="P71" s="17">
        <f>ROUND(VLOOKUP(O$67&amp;"_2",管理者用人口入力シート!CO:DL,Q71,FALSE),0)</f>
        <v>65</v>
      </c>
      <c r="Q71" s="2">
        <v>6</v>
      </c>
      <c r="U71" s="85"/>
    </row>
    <row r="72" spans="1:21" x14ac:dyDescent="0.15">
      <c r="A72" s="2" t="s">
        <v>7</v>
      </c>
      <c r="B72" s="17">
        <f>ROUND(VLOOKUP(B$63&amp;"_1",管理者用人口入力シート!A:X,D72,FALSE),0)</f>
        <v>83</v>
      </c>
      <c r="C72" s="17">
        <f>ROUND(VLOOKUP(B$63&amp;"_2",管理者用人口入力シート!A:X,D72,FALSE),0)</f>
        <v>95</v>
      </c>
      <c r="D72" s="2">
        <v>11</v>
      </c>
      <c r="G72" s="2" t="s">
        <v>3</v>
      </c>
      <c r="H72" s="17">
        <f>ROUND(VLOOKUP(H$67&amp;"_1",管理者用人口入力シート!BH:CE,J72,FALSE),0)</f>
        <v>69</v>
      </c>
      <c r="I72" s="17">
        <f>ROUND(VLOOKUP(H$67&amp;"_2",管理者用人口入力シート!BH:CE,J72,FALSE),0)</f>
        <v>64</v>
      </c>
      <c r="J72" s="2">
        <v>7</v>
      </c>
      <c r="K72" s="12"/>
      <c r="N72" s="2" t="s">
        <v>3</v>
      </c>
      <c r="O72" s="17">
        <f>ROUND(VLOOKUP(O$67&amp;"_1",管理者用人口入力シート!CO:DL,Q72,FALSE),0)</f>
        <v>69</v>
      </c>
      <c r="P72" s="17">
        <f>ROUND(VLOOKUP(O$67&amp;"_2",管理者用人口入力シート!CO:DL,Q72,FALSE),0)</f>
        <v>64</v>
      </c>
      <c r="Q72" s="2">
        <v>7</v>
      </c>
      <c r="U72" s="85"/>
    </row>
    <row r="73" spans="1:21" x14ac:dyDescent="0.15">
      <c r="A73" s="2" t="s">
        <v>8</v>
      </c>
      <c r="B73" s="17">
        <f>ROUND(VLOOKUP(B$63&amp;"_1",管理者用人口入力シート!A:X,D73,FALSE),0)</f>
        <v>109</v>
      </c>
      <c r="C73" s="17">
        <f>ROUND(VLOOKUP(B$63&amp;"_2",管理者用人口入力シート!A:X,D73,FALSE),0)</f>
        <v>108</v>
      </c>
      <c r="D73" s="2">
        <v>12</v>
      </c>
      <c r="G73" s="2" t="s">
        <v>4</v>
      </c>
      <c r="H73" s="17">
        <f>ROUND(VLOOKUP(H$67&amp;"_1",管理者用人口入力シート!BH:CE,J73,FALSE),0)</f>
        <v>42</v>
      </c>
      <c r="I73" s="17">
        <f>ROUND(VLOOKUP(H$67&amp;"_2",管理者用人口入力シート!BH:CE,J73,FALSE),0)</f>
        <v>45</v>
      </c>
      <c r="J73" s="2">
        <v>8</v>
      </c>
      <c r="K73" s="12"/>
      <c r="N73" s="2" t="s">
        <v>4</v>
      </c>
      <c r="O73" s="17">
        <f>ROUND(VLOOKUP(O$67&amp;"_1",管理者用人口入力シート!CO:DL,Q73,FALSE),0)</f>
        <v>42</v>
      </c>
      <c r="P73" s="17">
        <f>ROUND(VLOOKUP(O$67&amp;"_2",管理者用人口入力シート!CO:DL,Q73,FALSE),0)</f>
        <v>45</v>
      </c>
      <c r="Q73" s="2">
        <v>8</v>
      </c>
      <c r="U73" s="85"/>
    </row>
    <row r="74" spans="1:21" x14ac:dyDescent="0.15">
      <c r="A74" s="2" t="s">
        <v>9</v>
      </c>
      <c r="B74" s="17">
        <f>ROUND(VLOOKUP(B$63&amp;"_1",管理者用人口入力シート!A:X,D74,FALSE),0)</f>
        <v>107</v>
      </c>
      <c r="C74" s="17">
        <f>ROUND(VLOOKUP(B$63&amp;"_2",管理者用人口入力シート!A:X,D74,FALSE),0)</f>
        <v>117</v>
      </c>
      <c r="D74" s="2">
        <v>13</v>
      </c>
      <c r="G74" s="2" t="s">
        <v>5</v>
      </c>
      <c r="H74" s="17">
        <f>ROUND(VLOOKUP(H$67&amp;"_1",管理者用人口入力シート!BH:CE,J74,FALSE),0)</f>
        <v>37</v>
      </c>
      <c r="I74" s="17">
        <f>ROUND(VLOOKUP(H$67&amp;"_2",管理者用人口入力シート!BH:CE,J74,FALSE),0)</f>
        <v>43</v>
      </c>
      <c r="J74" s="2">
        <v>9</v>
      </c>
      <c r="K74" s="12"/>
      <c r="N74" s="2" t="s">
        <v>5</v>
      </c>
      <c r="O74" s="17">
        <f>ROUND(VLOOKUP(O$67&amp;"_1",管理者用人口入力シート!CO:DL,Q74,FALSE),0)</f>
        <v>39</v>
      </c>
      <c r="P74" s="17">
        <f>ROUND(VLOOKUP(O$67&amp;"_2",管理者用人口入力シート!CO:DL,Q74,FALSE),0)</f>
        <v>45</v>
      </c>
      <c r="Q74" s="2">
        <v>9</v>
      </c>
      <c r="U74" s="85"/>
    </row>
    <row r="75" spans="1:21" x14ac:dyDescent="0.15">
      <c r="A75" s="2" t="s">
        <v>10</v>
      </c>
      <c r="B75" s="17">
        <f>ROUND(VLOOKUP(B$63&amp;"_1",管理者用人口入力シート!A:X,D75,FALSE),0)</f>
        <v>131</v>
      </c>
      <c r="C75" s="17">
        <f>ROUND(VLOOKUP(B$63&amp;"_2",管理者用人口入力シート!A:X,D75,FALSE),0)</f>
        <v>139</v>
      </c>
      <c r="D75" s="2">
        <v>14</v>
      </c>
      <c r="G75" s="2" t="s">
        <v>6</v>
      </c>
      <c r="H75" s="17">
        <f>ROUND(VLOOKUP(H$67&amp;"_1",管理者用人口入力シート!BH:CE,J75,FALSE),0)</f>
        <v>46</v>
      </c>
      <c r="I75" s="17">
        <f>ROUND(VLOOKUP(H$67&amp;"_2",管理者用人口入力シート!BH:CE,J75,FALSE),0)</f>
        <v>41</v>
      </c>
      <c r="J75" s="2">
        <v>10</v>
      </c>
      <c r="K75" s="12"/>
      <c r="N75" s="2" t="s">
        <v>6</v>
      </c>
      <c r="O75" s="17">
        <f>ROUND(VLOOKUP(O$67&amp;"_1",管理者用人口入力シート!CO:DL,Q75,FALSE),0)</f>
        <v>46</v>
      </c>
      <c r="P75" s="17">
        <f>ROUND(VLOOKUP(O$67&amp;"_2",管理者用人口入力シート!CO:DL,Q75,FALSE),0)</f>
        <v>41</v>
      </c>
      <c r="Q75" s="2">
        <v>10</v>
      </c>
      <c r="U75" s="85"/>
    </row>
    <row r="76" spans="1:21" x14ac:dyDescent="0.15">
      <c r="A76" s="2" t="s">
        <v>11</v>
      </c>
      <c r="B76" s="17">
        <f>ROUND(VLOOKUP(B$63&amp;"_1",管理者用人口入力シート!A:X,D76,FALSE),0)</f>
        <v>160</v>
      </c>
      <c r="C76" s="17">
        <f>ROUND(VLOOKUP(B$63&amp;"_2",管理者用人口入力シート!A:X,D76,FALSE),0)</f>
        <v>167</v>
      </c>
      <c r="D76" s="2">
        <v>15</v>
      </c>
      <c r="G76" s="2" t="s">
        <v>7</v>
      </c>
      <c r="H76" s="17">
        <f>ROUND(VLOOKUP(H$67&amp;"_1",管理者用人口入力シート!BH:CE,J76,FALSE),0)</f>
        <v>48</v>
      </c>
      <c r="I76" s="17">
        <f>ROUND(VLOOKUP(H$67&amp;"_2",管理者用人口入力シート!BH:CE,J76,FALSE),0)</f>
        <v>56</v>
      </c>
      <c r="J76" s="2">
        <v>11</v>
      </c>
      <c r="K76" s="12"/>
      <c r="N76" s="2" t="s">
        <v>7</v>
      </c>
      <c r="O76" s="17">
        <f>ROUND(VLOOKUP(O$67&amp;"_1",管理者用人口入力シート!CO:DL,Q76,FALSE),0)</f>
        <v>48</v>
      </c>
      <c r="P76" s="17">
        <f>ROUND(VLOOKUP(O$67&amp;"_2",管理者用人口入力シート!CO:DL,Q76,FALSE),0)</f>
        <v>56</v>
      </c>
      <c r="Q76" s="2">
        <v>11</v>
      </c>
      <c r="U76" s="85"/>
    </row>
    <row r="77" spans="1:21" x14ac:dyDescent="0.15">
      <c r="A77" s="2" t="s">
        <v>12</v>
      </c>
      <c r="B77" s="17">
        <f>ROUND(VLOOKUP(B$63&amp;"_1",管理者用人口入力シート!A:X,D77,FALSE),0)</f>
        <v>208</v>
      </c>
      <c r="C77" s="17">
        <f>ROUND(VLOOKUP(B$63&amp;"_2",管理者用人口入力シート!A:X,D77,FALSE),0)</f>
        <v>198</v>
      </c>
      <c r="D77" s="2">
        <v>16</v>
      </c>
      <c r="G77" s="2" t="s">
        <v>8</v>
      </c>
      <c r="H77" s="17">
        <f>ROUND(VLOOKUP(H$67&amp;"_1",管理者用人口入力シート!BH:CE,J77,FALSE),0)</f>
        <v>105</v>
      </c>
      <c r="I77" s="17">
        <f>ROUND(VLOOKUP(H$67&amp;"_2",管理者用人口入力シート!BH:CE,J77,FALSE),0)</f>
        <v>80</v>
      </c>
      <c r="J77" s="2">
        <v>12</v>
      </c>
      <c r="K77" s="12"/>
      <c r="N77" s="2" t="s">
        <v>8</v>
      </c>
      <c r="O77" s="17">
        <f>ROUND(VLOOKUP(O$67&amp;"_1",管理者用人口入力シート!CO:DL,Q77,FALSE),0)</f>
        <v>105</v>
      </c>
      <c r="P77" s="17">
        <f>ROUND(VLOOKUP(O$67&amp;"_2",管理者用人口入力シート!CO:DL,Q77,FALSE),0)</f>
        <v>81</v>
      </c>
      <c r="Q77" s="2">
        <v>12</v>
      </c>
      <c r="U77" s="85"/>
    </row>
    <row r="78" spans="1:21" x14ac:dyDescent="0.15">
      <c r="A78" s="2" t="s">
        <v>13</v>
      </c>
      <c r="B78" s="17">
        <f>ROUND(VLOOKUP(B$63&amp;"_1",管理者用人口入力シート!A:X,D78,FALSE),0)</f>
        <v>208</v>
      </c>
      <c r="C78" s="17">
        <f>ROUND(VLOOKUP(B$63&amp;"_2",管理者用人口入力シート!A:X,D78,FALSE),0)</f>
        <v>220</v>
      </c>
      <c r="D78" s="2">
        <v>17</v>
      </c>
      <c r="G78" s="2" t="s">
        <v>9</v>
      </c>
      <c r="H78" s="17">
        <f>ROUND(VLOOKUP(H$67&amp;"_1",管理者用人口入力シート!BH:CE,J78,FALSE),0)</f>
        <v>92</v>
      </c>
      <c r="I78" s="17">
        <f>ROUND(VLOOKUP(H$67&amp;"_2",管理者用人口入力シート!BH:CE,J78,FALSE),0)</f>
        <v>91</v>
      </c>
      <c r="J78" s="2">
        <v>13</v>
      </c>
      <c r="K78" s="12"/>
      <c r="N78" s="2" t="s">
        <v>9</v>
      </c>
      <c r="O78" s="17">
        <f>ROUND(VLOOKUP(O$67&amp;"_1",管理者用人口入力シート!CO:DL,Q78,FALSE),0)</f>
        <v>92</v>
      </c>
      <c r="P78" s="17">
        <f>ROUND(VLOOKUP(O$67&amp;"_2",管理者用人口入力シート!CO:DL,Q78,FALSE),0)</f>
        <v>91</v>
      </c>
      <c r="Q78" s="2">
        <v>13</v>
      </c>
      <c r="U78" s="85"/>
    </row>
    <row r="79" spans="1:21" x14ac:dyDescent="0.15">
      <c r="A79" s="2" t="s">
        <v>14</v>
      </c>
      <c r="B79" s="17">
        <f>ROUND(VLOOKUP(B$63&amp;"_1",管理者用人口入力シート!A:X,D79,FALSE),0)</f>
        <v>147</v>
      </c>
      <c r="C79" s="17">
        <f>ROUND(VLOOKUP(B$63&amp;"_2",管理者用人口入力シート!A:X,D79,FALSE),0)</f>
        <v>184</v>
      </c>
      <c r="D79" s="2">
        <v>18</v>
      </c>
      <c r="G79" s="2" t="s">
        <v>10</v>
      </c>
      <c r="H79" s="17">
        <f>ROUND(VLOOKUP(H$67&amp;"_1",管理者用人口入力シート!BH:CE,J79,FALSE),0)</f>
        <v>101</v>
      </c>
      <c r="I79" s="17">
        <f>ROUND(VLOOKUP(H$67&amp;"_2",管理者用人口入力シート!BH:CE,J79,FALSE),0)</f>
        <v>101</v>
      </c>
      <c r="J79" s="2">
        <v>14</v>
      </c>
      <c r="K79" s="12"/>
      <c r="N79" s="2" t="s">
        <v>10</v>
      </c>
      <c r="O79" s="17">
        <f>ROUND(VLOOKUP(O$67&amp;"_1",管理者用人口入力シート!CO:DL,Q79,FALSE),0)</f>
        <v>101</v>
      </c>
      <c r="P79" s="17">
        <f>ROUND(VLOOKUP(O$67&amp;"_2",管理者用人口入力シート!CO:DL,Q79,FALSE),0)</f>
        <v>101</v>
      </c>
      <c r="Q79" s="2">
        <v>14</v>
      </c>
      <c r="U79" s="85"/>
    </row>
    <row r="80" spans="1:21" x14ac:dyDescent="0.15">
      <c r="A80" s="2" t="s">
        <v>15</v>
      </c>
      <c r="B80" s="17">
        <f>ROUND(VLOOKUP(B$63&amp;"_1",管理者用人口入力シート!A:X,D80,FALSE),0)</f>
        <v>135</v>
      </c>
      <c r="C80" s="17">
        <f>ROUND(VLOOKUP(B$63&amp;"_2",管理者用人口入力シート!A:X,D80,FALSE),0)</f>
        <v>163</v>
      </c>
      <c r="D80" s="2">
        <v>19</v>
      </c>
      <c r="G80" s="2" t="s">
        <v>11</v>
      </c>
      <c r="H80" s="17">
        <f>ROUND(VLOOKUP(H$67&amp;"_1",管理者用人口入力シート!BH:CE,J80,FALSE),0)</f>
        <v>93</v>
      </c>
      <c r="I80" s="17">
        <f>ROUND(VLOOKUP(H$67&amp;"_2",管理者用人口入力シート!BH:CE,J80,FALSE),0)</f>
        <v>107</v>
      </c>
      <c r="J80" s="2">
        <v>15</v>
      </c>
      <c r="K80" s="12"/>
      <c r="N80" s="2" t="s">
        <v>11</v>
      </c>
      <c r="O80" s="17">
        <f>ROUND(VLOOKUP(O$67&amp;"_1",管理者用人口入力シート!CO:DL,Q80,FALSE),0)</f>
        <v>93</v>
      </c>
      <c r="P80" s="17">
        <f>ROUND(VLOOKUP(O$67&amp;"_2",管理者用人口入力シート!CO:DL,Q80,FALSE),0)</f>
        <v>107</v>
      </c>
      <c r="Q80" s="2">
        <v>15</v>
      </c>
      <c r="U80" s="85"/>
    </row>
    <row r="81" spans="1:21" x14ac:dyDescent="0.15">
      <c r="A81" s="2" t="s">
        <v>16</v>
      </c>
      <c r="B81" s="17">
        <f>ROUND(VLOOKUP(B$63&amp;"_1",管理者用人口入力シート!A:X,D81,FALSE),0)</f>
        <v>118</v>
      </c>
      <c r="C81" s="17">
        <f>ROUND(VLOOKUP(B$63&amp;"_2",管理者用人口入力シート!A:X,D81,FALSE),0)</f>
        <v>158</v>
      </c>
      <c r="D81" s="2">
        <v>20</v>
      </c>
      <c r="G81" s="2" t="s">
        <v>12</v>
      </c>
      <c r="H81" s="17">
        <f>ROUND(VLOOKUP(H$67&amp;"_1",管理者用人口入力シート!BH:CE,J81,FALSE),0)</f>
        <v>126</v>
      </c>
      <c r="I81" s="17">
        <f>ROUND(VLOOKUP(H$67&amp;"_2",管理者用人口入力シート!BH:CE,J81,FALSE),0)</f>
        <v>134</v>
      </c>
      <c r="J81" s="2">
        <v>16</v>
      </c>
      <c r="K81" s="12"/>
      <c r="N81" s="2" t="s">
        <v>12</v>
      </c>
      <c r="O81" s="17">
        <f>ROUND(VLOOKUP(O$67&amp;"_1",管理者用人口入力シート!CO:DL,Q81,FALSE),0)</f>
        <v>126</v>
      </c>
      <c r="P81" s="17">
        <f>ROUND(VLOOKUP(O$67&amp;"_2",管理者用人口入力シート!CO:DL,Q81,FALSE),0)</f>
        <v>134</v>
      </c>
      <c r="Q81" s="2">
        <v>16</v>
      </c>
      <c r="U81" s="85"/>
    </row>
    <row r="82" spans="1:21" x14ac:dyDescent="0.15">
      <c r="A82" s="2" t="s">
        <v>17</v>
      </c>
      <c r="B82" s="17">
        <f>ROUND(VLOOKUP(B$63&amp;"_1",管理者用人口入力シート!A:X,D82,FALSE),0)</f>
        <v>60</v>
      </c>
      <c r="C82" s="17">
        <f>ROUND(VLOOKUP(B$63&amp;"_2",管理者用人口入力シート!A:X,D82,FALSE),0)</f>
        <v>143</v>
      </c>
      <c r="D82" s="2">
        <v>21</v>
      </c>
      <c r="G82" s="2" t="s">
        <v>13</v>
      </c>
      <c r="H82" s="17">
        <f>ROUND(VLOOKUP(H$67&amp;"_1",管理者用人口入力シート!BH:CE,J82,FALSE),0)</f>
        <v>150</v>
      </c>
      <c r="I82" s="17">
        <f>ROUND(VLOOKUP(H$67&amp;"_2",管理者用人口入力シート!BH:CE,J82,FALSE),0)</f>
        <v>164</v>
      </c>
      <c r="J82" s="2">
        <v>17</v>
      </c>
      <c r="K82" s="12"/>
      <c r="N82" s="2" t="s">
        <v>13</v>
      </c>
      <c r="O82" s="17">
        <f>ROUND(VLOOKUP(O$67&amp;"_1",管理者用人口入力シート!CO:DL,Q82,FALSE),0)</f>
        <v>150</v>
      </c>
      <c r="P82" s="17">
        <f>ROUND(VLOOKUP(O$67&amp;"_2",管理者用人口入力シート!CO:DL,Q82,FALSE),0)</f>
        <v>164</v>
      </c>
      <c r="Q82" s="2">
        <v>17</v>
      </c>
      <c r="U82" s="85"/>
    </row>
    <row r="83" spans="1:21" x14ac:dyDescent="0.15">
      <c r="A83" s="2" t="s">
        <v>18</v>
      </c>
      <c r="B83" s="17">
        <f>ROUND(VLOOKUP(B$63&amp;"_1",管理者用人口入力シート!A:X,D83,FALSE),0)</f>
        <v>16</v>
      </c>
      <c r="C83" s="17">
        <f>ROUND(VLOOKUP(B$63&amp;"_2",管理者用人口入力シート!A:X,D83,FALSE),0)</f>
        <v>65</v>
      </c>
      <c r="D83" s="2">
        <v>22</v>
      </c>
      <c r="G83" s="2" t="s">
        <v>14</v>
      </c>
      <c r="H83" s="17">
        <f>ROUND(VLOOKUP(H$67&amp;"_1",管理者用人口入力シート!BH:CE,J83,FALSE),0)</f>
        <v>186</v>
      </c>
      <c r="I83" s="17">
        <f>ROUND(VLOOKUP(H$67&amp;"_2",管理者用人口入力シート!BH:CE,J83,FALSE),0)</f>
        <v>187</v>
      </c>
      <c r="J83" s="2">
        <v>18</v>
      </c>
      <c r="K83" s="12"/>
      <c r="N83" s="2" t="s">
        <v>14</v>
      </c>
      <c r="O83" s="17">
        <f>ROUND(VLOOKUP(O$67&amp;"_1",管理者用人口入力シート!CO:DL,Q83,FALSE),0)</f>
        <v>186</v>
      </c>
      <c r="P83" s="17">
        <f>ROUND(VLOOKUP(O$67&amp;"_2",管理者用人口入力シート!CO:DL,Q83,FALSE),0)</f>
        <v>187</v>
      </c>
      <c r="Q83" s="2">
        <v>18</v>
      </c>
      <c r="U83" s="85"/>
    </row>
    <row r="84" spans="1:21" x14ac:dyDescent="0.15">
      <c r="A84" s="2" t="s">
        <v>19</v>
      </c>
      <c r="B84" s="17">
        <f>ROUND(VLOOKUP(B$63&amp;"_1",管理者用人口入力シート!A:X,D84,FALSE),0)</f>
        <v>3</v>
      </c>
      <c r="C84" s="17">
        <f>ROUND(VLOOKUP(B$63&amp;"_2",管理者用人口入力シート!A:X,D84,FALSE),0)</f>
        <v>16</v>
      </c>
      <c r="D84" s="2">
        <v>23</v>
      </c>
      <c r="G84" s="2" t="s">
        <v>15</v>
      </c>
      <c r="H84" s="17">
        <f>ROUND(VLOOKUP(H$67&amp;"_1",管理者用人口入力シート!BH:CE,J84,FALSE),0)</f>
        <v>165</v>
      </c>
      <c r="I84" s="17">
        <f>ROUND(VLOOKUP(H$67&amp;"_2",管理者用人口入力シート!BH:CE,J84,FALSE),0)</f>
        <v>190</v>
      </c>
      <c r="J84" s="2">
        <v>19</v>
      </c>
      <c r="K84" s="12"/>
      <c r="N84" s="2" t="s">
        <v>15</v>
      </c>
      <c r="O84" s="17">
        <f>ROUND(VLOOKUP(O$67&amp;"_1",管理者用人口入力シート!CO:DL,Q84,FALSE),0)</f>
        <v>165</v>
      </c>
      <c r="P84" s="17">
        <f>ROUND(VLOOKUP(O$67&amp;"_2",管理者用人口入力シート!CO:DL,Q84,FALSE),0)</f>
        <v>190</v>
      </c>
      <c r="Q84" s="2">
        <v>19</v>
      </c>
      <c r="U84" s="85"/>
    </row>
    <row r="85" spans="1:21" x14ac:dyDescent="0.15">
      <c r="A85" s="2" t="s">
        <v>20</v>
      </c>
      <c r="B85" s="17">
        <f>ROUND(VLOOKUP(B$63&amp;"_1",管理者用人口入力シート!A:X,D85,FALSE),0)</f>
        <v>1</v>
      </c>
      <c r="C85" s="17">
        <f>ROUND(VLOOKUP(B$63&amp;"_2",管理者用人口入力シート!A:X,D85,FALSE),0)</f>
        <v>2</v>
      </c>
      <c r="D85" s="2">
        <v>24</v>
      </c>
      <c r="G85" s="2" t="s">
        <v>16</v>
      </c>
      <c r="H85" s="17">
        <f>ROUND(VLOOKUP(H$67&amp;"_1",管理者用人口入力シート!BH:CE,J85,FALSE),0)</f>
        <v>97</v>
      </c>
      <c r="I85" s="17">
        <f>ROUND(VLOOKUP(H$67&amp;"_2",管理者用人口入力シート!BH:CE,J85,FALSE),0)</f>
        <v>130</v>
      </c>
      <c r="J85" s="2">
        <v>20</v>
      </c>
      <c r="K85" s="12"/>
      <c r="N85" s="2" t="s">
        <v>16</v>
      </c>
      <c r="O85" s="17">
        <f>ROUND(VLOOKUP(O$67&amp;"_1",管理者用人口入力シート!CO:DL,Q85,FALSE),0)</f>
        <v>97</v>
      </c>
      <c r="P85" s="17">
        <f>ROUND(VLOOKUP(O$67&amp;"_2",管理者用人口入力シート!CO:DL,Q85,FALSE),0)</f>
        <v>130</v>
      </c>
      <c r="Q85" s="2">
        <v>20</v>
      </c>
      <c r="U85" s="85"/>
    </row>
    <row r="86" spans="1:21" x14ac:dyDescent="0.15">
      <c r="G86" s="2" t="s">
        <v>17</v>
      </c>
      <c r="H86" s="17">
        <f>ROUND(VLOOKUP(H$67&amp;"_1",管理者用人口入力シート!BH:CE,J86,FALSE),0)</f>
        <v>54</v>
      </c>
      <c r="I86" s="17">
        <f>ROUND(VLOOKUP(H$67&amp;"_2",管理者用人口入力シート!BH:CE,J86,FALSE),0)</f>
        <v>95</v>
      </c>
      <c r="J86" s="2">
        <v>21</v>
      </c>
      <c r="K86" s="12"/>
      <c r="N86" s="2" t="s">
        <v>17</v>
      </c>
      <c r="O86" s="17">
        <f>ROUND(VLOOKUP(O$67&amp;"_1",管理者用人口入力シート!CO:DL,Q86,FALSE),0)</f>
        <v>54</v>
      </c>
      <c r="P86" s="17">
        <f>ROUND(VLOOKUP(O$67&amp;"_2",管理者用人口入力シート!CO:DL,Q86,FALSE),0)</f>
        <v>95</v>
      </c>
      <c r="Q86" s="2">
        <v>21</v>
      </c>
      <c r="U86" s="85"/>
    </row>
    <row r="87" spans="1:21" x14ac:dyDescent="0.15">
      <c r="A87" s="2" t="s">
        <v>62</v>
      </c>
      <c r="B87" s="316">
        <f>管理者入力シート!B5</f>
        <v>2020</v>
      </c>
      <c r="C87" s="317"/>
      <c r="D87" s="2" t="s">
        <v>114</v>
      </c>
      <c r="G87" s="2" t="s">
        <v>18</v>
      </c>
      <c r="H87" s="17">
        <f>ROUND(VLOOKUP(H$67&amp;"_1",管理者用人口入力シート!BH:CE,J87,FALSE),0)</f>
        <v>23</v>
      </c>
      <c r="I87" s="17">
        <f>ROUND(VLOOKUP(H$67&amp;"_2",管理者用人口入力シート!BH:CE,J87,FALSE),0)</f>
        <v>67</v>
      </c>
      <c r="J87" s="2">
        <v>22</v>
      </c>
      <c r="K87" s="12"/>
      <c r="N87" s="2" t="s">
        <v>18</v>
      </c>
      <c r="O87" s="17">
        <f>ROUND(VLOOKUP(O$67&amp;"_1",管理者用人口入力シート!CO:DL,Q87,FALSE),0)</f>
        <v>23</v>
      </c>
      <c r="P87" s="17">
        <f>ROUND(VLOOKUP(O$67&amp;"_2",管理者用人口入力シート!CO:DL,Q87,FALSE),0)</f>
        <v>67</v>
      </c>
      <c r="Q87" s="2">
        <v>22</v>
      </c>
      <c r="U87" s="85"/>
    </row>
    <row r="88" spans="1:21" x14ac:dyDescent="0.15">
      <c r="A88" s="2" t="s">
        <v>115</v>
      </c>
      <c r="B88" s="18" t="s">
        <v>21</v>
      </c>
      <c r="C88" s="18" t="s">
        <v>22</v>
      </c>
      <c r="G88" s="2" t="s">
        <v>19</v>
      </c>
      <c r="H88" s="17">
        <f>ROUND(VLOOKUP(H$67&amp;"_1",管理者用人口入力シート!BH:CE,J88,FALSE),0)</f>
        <v>4</v>
      </c>
      <c r="I88" s="17">
        <f>ROUND(VLOOKUP(H$67&amp;"_2",管理者用人口入力シート!BH:CE,J88,FALSE),0)</f>
        <v>28</v>
      </c>
      <c r="J88" s="2">
        <v>23</v>
      </c>
      <c r="K88" s="12"/>
      <c r="N88" s="2" t="s">
        <v>19</v>
      </c>
      <c r="O88" s="17">
        <f>ROUND(VLOOKUP(O$67&amp;"_1",管理者用人口入力シート!CO:DL,Q88,FALSE),0)</f>
        <v>4</v>
      </c>
      <c r="P88" s="17">
        <f>ROUND(VLOOKUP(O$67&amp;"_2",管理者用人口入力シート!CO:DL,Q88,FALSE),0)</f>
        <v>28</v>
      </c>
      <c r="Q88" s="2">
        <v>23</v>
      </c>
      <c r="U88" s="85"/>
    </row>
    <row r="89" spans="1:21" x14ac:dyDescent="0.15">
      <c r="A89" s="2" t="s">
        <v>0</v>
      </c>
      <c r="B89" s="17">
        <f>ROUND(VLOOKUP(B$87&amp;"_1",管理者用人口入力シート!A:X,D89,FALSE),0)</f>
        <v>60</v>
      </c>
      <c r="C89" s="17">
        <f>ROUND(VLOOKUP(B$87&amp;"_2",管理者用人口入力シート!A:X,D89,FALSE),0)</f>
        <v>52</v>
      </c>
      <c r="D89" s="2">
        <v>4</v>
      </c>
      <c r="G89" s="2" t="s">
        <v>20</v>
      </c>
      <c r="H89" s="17">
        <f>ROUND(VLOOKUP(H$67&amp;"_1",管理者用人口入力シート!BH:CE,J89,FALSE),0)</f>
        <v>0</v>
      </c>
      <c r="I89" s="17">
        <f>ROUND(VLOOKUP(H$67&amp;"_2",管理者用人口入力シート!BH:CE,J89,FALSE),0)</f>
        <v>3</v>
      </c>
      <c r="J89" s="2">
        <v>24</v>
      </c>
      <c r="K89" s="12"/>
      <c r="N89" s="2" t="s">
        <v>20</v>
      </c>
      <c r="O89" s="17">
        <f>ROUND(VLOOKUP(O$67&amp;"_1",管理者用人口入力シート!CO:DL,Q89,FALSE),0)</f>
        <v>0</v>
      </c>
      <c r="P89" s="17">
        <f>ROUND(VLOOKUP(O$67&amp;"_2",管理者用人口入力シート!CO:DL,Q89,FALSE),0)</f>
        <v>3</v>
      </c>
      <c r="Q89" s="2">
        <v>24</v>
      </c>
      <c r="U89" s="85"/>
    </row>
    <row r="90" spans="1:21" x14ac:dyDescent="0.15">
      <c r="A90" s="2" t="s">
        <v>1</v>
      </c>
      <c r="B90" s="17">
        <f>ROUND(VLOOKUP(B$87&amp;"_1",管理者用人口入力シート!A:X,D90,FALSE),0)</f>
        <v>66</v>
      </c>
      <c r="C90" s="17">
        <f>ROUND(VLOOKUP(B$87&amp;"_2",管理者用人口入力シート!A:X,D90,FALSE),0)</f>
        <v>65</v>
      </c>
      <c r="D90" s="2">
        <v>5</v>
      </c>
    </row>
    <row r="91" spans="1:21" x14ac:dyDescent="0.15">
      <c r="A91" s="2" t="s">
        <v>2</v>
      </c>
      <c r="B91" s="17">
        <f>ROUND(VLOOKUP(B$87&amp;"_1",管理者用人口入力シート!A:X,D91,FALSE),0)</f>
        <v>88</v>
      </c>
      <c r="C91" s="17">
        <f>ROUND(VLOOKUP(B$87&amp;"_2",管理者用人口入力シート!A:X,D91,FALSE),0)</f>
        <v>76</v>
      </c>
      <c r="D91" s="2">
        <v>6</v>
      </c>
      <c r="G91" s="2" t="s">
        <v>107</v>
      </c>
      <c r="H91" s="316">
        <f>管理者入力シート!B9</f>
        <v>2030</v>
      </c>
      <c r="I91" s="317"/>
      <c r="J91" s="2" t="s">
        <v>114</v>
      </c>
      <c r="K91" s="208"/>
      <c r="O91" s="316">
        <f>管理者入力シート!B9</f>
        <v>2030</v>
      </c>
      <c r="P91" s="317"/>
      <c r="Q91" s="2" t="s">
        <v>114</v>
      </c>
    </row>
    <row r="92" spans="1:21" x14ac:dyDescent="0.15">
      <c r="A92" s="2" t="s">
        <v>3</v>
      </c>
      <c r="B92" s="17">
        <f>ROUND(VLOOKUP(B$87&amp;"_1",管理者用人口入力シート!A:X,D92,FALSE),0)</f>
        <v>82</v>
      </c>
      <c r="C92" s="17">
        <f>ROUND(VLOOKUP(B$87&amp;"_2",管理者用人口入力シート!A:X,D92,FALSE),0)</f>
        <v>84</v>
      </c>
      <c r="D92" s="2">
        <v>7</v>
      </c>
      <c r="G92" s="2" t="s">
        <v>115</v>
      </c>
      <c r="H92" s="18" t="s">
        <v>243</v>
      </c>
      <c r="I92" s="18" t="s">
        <v>244</v>
      </c>
      <c r="K92" s="208"/>
      <c r="N92" s="2" t="s">
        <v>115</v>
      </c>
      <c r="O92" s="18" t="s">
        <v>21</v>
      </c>
      <c r="P92" s="18" t="s">
        <v>22</v>
      </c>
    </row>
    <row r="93" spans="1:21" x14ac:dyDescent="0.15">
      <c r="A93" s="2" t="s">
        <v>4</v>
      </c>
      <c r="B93" s="17">
        <f>ROUND(VLOOKUP(B$87&amp;"_1",管理者用人口入力シート!A:X,D93,FALSE),0)</f>
        <v>45</v>
      </c>
      <c r="C93" s="17">
        <f>ROUND(VLOOKUP(B$87&amp;"_2",管理者用人口入力シート!A:X,D93,FALSE),0)</f>
        <v>49</v>
      </c>
      <c r="D93" s="2">
        <v>8</v>
      </c>
      <c r="G93" s="2" t="s">
        <v>0</v>
      </c>
      <c r="H93" s="17">
        <f>ROUND(VLOOKUP(H$91&amp;"_1",管理者用人口入力シート!BH:CE,J93,FALSE),0)</f>
        <v>38</v>
      </c>
      <c r="I93" s="17">
        <f>ROUND(VLOOKUP(H$91&amp;"_2",管理者用人口入力シート!BH:CE,J93,FALSE),0)</f>
        <v>33</v>
      </c>
      <c r="J93" s="2">
        <v>4</v>
      </c>
      <c r="K93" s="12"/>
      <c r="N93" s="2" t="s">
        <v>0</v>
      </c>
      <c r="O93" s="17">
        <f>ROUND(VLOOKUP(O$91&amp;"_1",管理者用人口入力シート!CO:DL,Q93,FALSE),0)</f>
        <v>40</v>
      </c>
      <c r="P93" s="17">
        <f>ROUND(VLOOKUP(O$91&amp;"_2",管理者用人口入力シート!CO:DL,Q93,FALSE),0)</f>
        <v>35</v>
      </c>
      <c r="Q93" s="2">
        <v>4</v>
      </c>
      <c r="T93" s="85"/>
    </row>
    <row r="94" spans="1:21" x14ac:dyDescent="0.15">
      <c r="A94" s="2" t="s">
        <v>5</v>
      </c>
      <c r="B94" s="17">
        <f>ROUND(VLOOKUP(B$87&amp;"_1",管理者用人口入力シート!A:X,D94,FALSE),0)</f>
        <v>51</v>
      </c>
      <c r="C94" s="17">
        <f>ROUND(VLOOKUP(B$87&amp;"_2",管理者用人口入力シート!A:X,D94,FALSE),0)</f>
        <v>50</v>
      </c>
      <c r="D94" s="2">
        <v>9</v>
      </c>
      <c r="G94" s="2" t="s">
        <v>1</v>
      </c>
      <c r="H94" s="17">
        <f>ROUND(VLOOKUP(H$91&amp;"_1",管理者用人口入力シート!BH:CE,J94,FALSE),0)</f>
        <v>54</v>
      </c>
      <c r="I94" s="17">
        <f>ROUND(VLOOKUP(H$91&amp;"_2",管理者用人口入力シート!BH:CE,J94,FALSE),0)</f>
        <v>39</v>
      </c>
      <c r="J94" s="2">
        <v>5</v>
      </c>
      <c r="K94" s="12"/>
      <c r="N94" s="2" t="s">
        <v>1</v>
      </c>
      <c r="O94" s="17">
        <f>ROUND(VLOOKUP(O$91&amp;"_1",管理者用人口入力シート!CO:DL,Q94,FALSE),0)</f>
        <v>55</v>
      </c>
      <c r="P94" s="17">
        <f>ROUND(VLOOKUP(O$91&amp;"_2",管理者用人口入力シート!CO:DL,Q94,FALSE),0)</f>
        <v>40</v>
      </c>
      <c r="Q94" s="2">
        <v>5</v>
      </c>
      <c r="T94" s="85"/>
    </row>
    <row r="95" spans="1:21" x14ac:dyDescent="0.15">
      <c r="A95" s="2" t="s">
        <v>6</v>
      </c>
      <c r="B95" s="17">
        <f>ROUND(VLOOKUP(B$87&amp;"_1",管理者用人口入力シート!A:X,D95,FALSE),0)</f>
        <v>53</v>
      </c>
      <c r="C95" s="17">
        <f>ROUND(VLOOKUP(B$87&amp;"_2",管理者用人口入力シート!A:X,D95,FALSE),0)</f>
        <v>58</v>
      </c>
      <c r="D95" s="2">
        <v>10</v>
      </c>
      <c r="G95" s="2" t="s">
        <v>2</v>
      </c>
      <c r="H95" s="17">
        <f>ROUND(VLOOKUP(H$91&amp;"_1",管理者用人口入力シート!BH:CE,J95,FALSE),0)</f>
        <v>68</v>
      </c>
      <c r="I95" s="17">
        <f>ROUND(VLOOKUP(H$91&amp;"_2",管理者用人口入力シート!BH:CE,J95,FALSE),0)</f>
        <v>49</v>
      </c>
      <c r="J95" s="2">
        <v>6</v>
      </c>
      <c r="K95" s="12"/>
      <c r="N95" s="2" t="s">
        <v>2</v>
      </c>
      <c r="O95" s="17">
        <f>ROUND(VLOOKUP(O$91&amp;"_1",管理者用人口入力シート!CO:DL,Q95,FALSE),0)</f>
        <v>69</v>
      </c>
      <c r="P95" s="17">
        <f>ROUND(VLOOKUP(O$91&amp;"_2",管理者用人口入力シート!CO:DL,Q95,FALSE),0)</f>
        <v>50</v>
      </c>
      <c r="Q95" s="2">
        <v>6</v>
      </c>
      <c r="T95" s="85"/>
    </row>
    <row r="96" spans="1:21" x14ac:dyDescent="0.15">
      <c r="A96" s="2" t="s">
        <v>7</v>
      </c>
      <c r="B96" s="17">
        <f>ROUND(VLOOKUP(B$87&amp;"_1",管理者用人口入力シート!A:X,D96,FALSE),0)</f>
        <v>98</v>
      </c>
      <c r="C96" s="17">
        <f>ROUND(VLOOKUP(B$87&amp;"_2",管理者用人口入力シート!A:X,D96,FALSE),0)</f>
        <v>79</v>
      </c>
      <c r="D96" s="2">
        <v>11</v>
      </c>
      <c r="G96" s="2" t="s">
        <v>3</v>
      </c>
      <c r="H96" s="17">
        <f>ROUND(VLOOKUP(H$91&amp;"_1",管理者用人口入力シート!BH:CE,J96,FALSE),0)</f>
        <v>51</v>
      </c>
      <c r="I96" s="17">
        <f>ROUND(VLOOKUP(H$91&amp;"_2",管理者用人口入力シート!BH:CE,J96,FALSE),0)</f>
        <v>54</v>
      </c>
      <c r="J96" s="2">
        <v>7</v>
      </c>
      <c r="K96" s="12"/>
      <c r="N96" s="2" t="s">
        <v>3</v>
      </c>
      <c r="O96" s="17">
        <f>ROUND(VLOOKUP(O$91&amp;"_1",管理者用人口入力シート!CO:DL,Q96,FALSE),0)</f>
        <v>52</v>
      </c>
      <c r="P96" s="17">
        <f>ROUND(VLOOKUP(O$91&amp;"_2",管理者用人口入力シート!CO:DL,Q96,FALSE),0)</f>
        <v>55</v>
      </c>
      <c r="Q96" s="2">
        <v>7</v>
      </c>
      <c r="T96" s="85"/>
    </row>
    <row r="97" spans="1:20" x14ac:dyDescent="0.15">
      <c r="A97" s="2" t="s">
        <v>8</v>
      </c>
      <c r="B97" s="17">
        <f>ROUND(VLOOKUP(B$87&amp;"_1",管理者用人口入力シート!A:X,D97,FALSE),0)</f>
        <v>93</v>
      </c>
      <c r="C97" s="17">
        <f>ROUND(VLOOKUP(B$87&amp;"_2",管理者用人口入力シート!A:X,D97,FALSE),0)</f>
        <v>94</v>
      </c>
      <c r="D97" s="2">
        <v>12</v>
      </c>
      <c r="G97" s="2" t="s">
        <v>4</v>
      </c>
      <c r="H97" s="17">
        <f>ROUND(VLOOKUP(H$91&amp;"_1",管理者用人口入力シート!BH:CE,J97,FALSE),0)</f>
        <v>35</v>
      </c>
      <c r="I97" s="17">
        <f>ROUND(VLOOKUP(H$91&amp;"_2",管理者用人口入力シート!BH:CE,J97,FALSE),0)</f>
        <v>35</v>
      </c>
      <c r="J97" s="2">
        <v>8</v>
      </c>
      <c r="K97" s="12"/>
      <c r="N97" s="2" t="s">
        <v>4</v>
      </c>
      <c r="O97" s="17">
        <f>ROUND(VLOOKUP(O$91&amp;"_1",管理者用人口入力シート!CO:DL,Q97,FALSE),0)</f>
        <v>35</v>
      </c>
      <c r="P97" s="17">
        <f>ROUND(VLOOKUP(O$91&amp;"_2",管理者用人口入力シート!CO:DL,Q97,FALSE),0)</f>
        <v>35</v>
      </c>
      <c r="Q97" s="2">
        <v>8</v>
      </c>
      <c r="T97" s="85"/>
    </row>
    <row r="98" spans="1:20" x14ac:dyDescent="0.15">
      <c r="A98" s="2" t="s">
        <v>9</v>
      </c>
      <c r="B98" s="17">
        <f>ROUND(VLOOKUP(B$87&amp;"_1",管理者用人口入力シート!A:X,D98,FALSE),0)</f>
        <v>108</v>
      </c>
      <c r="C98" s="17">
        <f>ROUND(VLOOKUP(B$87&amp;"_2",管理者用人口入力シート!A:X,D98,FALSE),0)</f>
        <v>107</v>
      </c>
      <c r="D98" s="2">
        <v>13</v>
      </c>
      <c r="G98" s="2" t="s">
        <v>5</v>
      </c>
      <c r="H98" s="17">
        <f>ROUND(VLOOKUP(H$91&amp;"_1",管理者用人口入力シート!BH:CE,J98,FALSE),0)</f>
        <v>35</v>
      </c>
      <c r="I98" s="17">
        <f>ROUND(VLOOKUP(H$91&amp;"_2",管理者用人口入力シート!BH:CE,J98,FALSE),0)</f>
        <v>39</v>
      </c>
      <c r="J98" s="2">
        <v>9</v>
      </c>
      <c r="K98" s="12"/>
      <c r="N98" s="2" t="s">
        <v>5</v>
      </c>
      <c r="O98" s="17">
        <f>ROUND(VLOOKUP(O$91&amp;"_1",管理者用人口入力シート!CO:DL,Q98,FALSE),0)</f>
        <v>37</v>
      </c>
      <c r="P98" s="17">
        <f>ROUND(VLOOKUP(O$91&amp;"_2",管理者用人口入力シート!CO:DL,Q98,FALSE),0)</f>
        <v>41</v>
      </c>
      <c r="Q98" s="2">
        <v>9</v>
      </c>
      <c r="T98" s="85"/>
    </row>
    <row r="99" spans="1:20" x14ac:dyDescent="0.15">
      <c r="A99" s="2" t="s">
        <v>10</v>
      </c>
      <c r="B99" s="17">
        <f>ROUND(VLOOKUP(B$87&amp;"_1",管理者用人口入力シート!A:X,D99,FALSE),0)</f>
        <v>94</v>
      </c>
      <c r="C99" s="17">
        <f>ROUND(VLOOKUP(B$87&amp;"_2",管理者用人口入力シート!A:X,D99,FALSE),0)</f>
        <v>112</v>
      </c>
      <c r="D99" s="2">
        <v>14</v>
      </c>
      <c r="G99" s="2" t="s">
        <v>6</v>
      </c>
      <c r="H99" s="17">
        <f>ROUND(VLOOKUP(H$91&amp;"_1",管理者用人口入力シート!BH:CE,J99,FALSE),0)</f>
        <v>33</v>
      </c>
      <c r="I99" s="17">
        <f>ROUND(VLOOKUP(H$91&amp;"_2",管理者用人口入力シート!BH:CE,J99,FALSE),0)</f>
        <v>35</v>
      </c>
      <c r="J99" s="2">
        <v>10</v>
      </c>
      <c r="K99" s="12"/>
      <c r="N99" s="2" t="s">
        <v>6</v>
      </c>
      <c r="O99" s="17">
        <f>ROUND(VLOOKUP(O$91&amp;"_1",管理者用人口入力シート!CO:DL,Q99,FALSE),0)</f>
        <v>34</v>
      </c>
      <c r="P99" s="17">
        <f>ROUND(VLOOKUP(O$91&amp;"_2",管理者用人口入力シート!CO:DL,Q99,FALSE),0)</f>
        <v>37</v>
      </c>
      <c r="Q99" s="2">
        <v>10</v>
      </c>
      <c r="T99" s="85"/>
    </row>
    <row r="100" spans="1:20" x14ac:dyDescent="0.15">
      <c r="A100" s="2" t="s">
        <v>11</v>
      </c>
      <c r="B100" s="17">
        <f>ROUND(VLOOKUP(B$87&amp;"_1",管理者用人口入力シート!A:X,D100,FALSE),0)</f>
        <v>130</v>
      </c>
      <c r="C100" s="17">
        <f>ROUND(VLOOKUP(B$87&amp;"_2",管理者用人口入力シート!A:X,D100,FALSE),0)</f>
        <v>134</v>
      </c>
      <c r="D100" s="2">
        <v>15</v>
      </c>
      <c r="G100" s="2" t="s">
        <v>7</v>
      </c>
      <c r="H100" s="17">
        <f>ROUND(VLOOKUP(H$91&amp;"_1",管理者用人口入力シート!BH:CE,J100,FALSE),0)</f>
        <v>41</v>
      </c>
      <c r="I100" s="17">
        <f>ROUND(VLOOKUP(H$91&amp;"_2",管理者用人口入力シート!BH:CE,J100,FALSE),0)</f>
        <v>40</v>
      </c>
      <c r="J100" s="2">
        <v>11</v>
      </c>
      <c r="K100" s="12"/>
      <c r="N100" s="2" t="s">
        <v>7</v>
      </c>
      <c r="O100" s="17">
        <f>ROUND(VLOOKUP(O$91&amp;"_1",管理者用人口入力シート!CO:DL,Q100,FALSE),0)</f>
        <v>41</v>
      </c>
      <c r="P100" s="17">
        <f>ROUND(VLOOKUP(O$91&amp;"_2",管理者用人口入力シート!CO:DL,Q100,FALSE),0)</f>
        <v>40</v>
      </c>
      <c r="Q100" s="2">
        <v>11</v>
      </c>
      <c r="T100" s="85"/>
    </row>
    <row r="101" spans="1:20" x14ac:dyDescent="0.15">
      <c r="A101" s="2" t="s">
        <v>12</v>
      </c>
      <c r="B101" s="17">
        <f>ROUND(VLOOKUP(B$87&amp;"_1",管理者用人口入力シート!A:X,D101,FALSE),0)</f>
        <v>155</v>
      </c>
      <c r="C101" s="17">
        <f>ROUND(VLOOKUP(B$87&amp;"_2",管理者用人口入力シート!A:X,D101,FALSE),0)</f>
        <v>165</v>
      </c>
      <c r="D101" s="2">
        <v>16</v>
      </c>
      <c r="G101" s="2" t="s">
        <v>8</v>
      </c>
      <c r="H101" s="17">
        <f>ROUND(VLOOKUP(H$91&amp;"_1",管理者用人口入力シート!BH:CE,J101,FALSE),0)</f>
        <v>52</v>
      </c>
      <c r="I101" s="17">
        <f>ROUND(VLOOKUP(H$91&amp;"_2",管理者用人口入力シート!BH:CE,J101,FALSE),0)</f>
        <v>56</v>
      </c>
      <c r="J101" s="2">
        <v>12</v>
      </c>
      <c r="K101" s="12"/>
      <c r="N101" s="2" t="s">
        <v>8</v>
      </c>
      <c r="O101" s="17">
        <f>ROUND(VLOOKUP(O$91&amp;"_1",管理者用人口入力シート!CO:DL,Q101,FALSE),0)</f>
        <v>52</v>
      </c>
      <c r="P101" s="17">
        <f>ROUND(VLOOKUP(O$91&amp;"_2",管理者用人口入力シート!CO:DL,Q101,FALSE),0)</f>
        <v>57</v>
      </c>
      <c r="Q101" s="2">
        <v>12</v>
      </c>
      <c r="T101" s="85"/>
    </row>
    <row r="102" spans="1:20" x14ac:dyDescent="0.15">
      <c r="A102" s="2" t="s">
        <v>13</v>
      </c>
      <c r="B102" s="17">
        <f>ROUND(VLOOKUP(B$87&amp;"_1",管理者用人口入力シート!A:X,D102,FALSE),0)</f>
        <v>200</v>
      </c>
      <c r="C102" s="17">
        <f>ROUND(VLOOKUP(B$87&amp;"_2",管理者用人口入力シート!A:X,D102,FALSE),0)</f>
        <v>196</v>
      </c>
      <c r="D102" s="2">
        <v>17</v>
      </c>
      <c r="G102" s="2" t="s">
        <v>9</v>
      </c>
      <c r="H102" s="17">
        <f>ROUND(VLOOKUP(H$91&amp;"_1",管理者用人口入力シート!BH:CE,J102,FALSE),0)</f>
        <v>104</v>
      </c>
      <c r="I102" s="17">
        <f>ROUND(VLOOKUP(H$91&amp;"_2",管理者用人口入力シート!BH:CE,J102,FALSE),0)</f>
        <v>77</v>
      </c>
      <c r="J102" s="2">
        <v>13</v>
      </c>
      <c r="K102" s="12"/>
      <c r="N102" s="2" t="s">
        <v>9</v>
      </c>
      <c r="O102" s="17">
        <f>ROUND(VLOOKUP(O$91&amp;"_1",管理者用人口入力シート!CO:DL,Q102,FALSE),0)</f>
        <v>104</v>
      </c>
      <c r="P102" s="17">
        <f>ROUND(VLOOKUP(O$91&amp;"_2",管理者用人口入力シート!CO:DL,Q102,FALSE),0)</f>
        <v>78</v>
      </c>
      <c r="Q102" s="2">
        <v>13</v>
      </c>
      <c r="T102" s="85"/>
    </row>
    <row r="103" spans="1:20" x14ac:dyDescent="0.15">
      <c r="A103" s="2" t="s">
        <v>14</v>
      </c>
      <c r="B103" s="17">
        <f>ROUND(VLOOKUP(B$87&amp;"_1",管理者用人口入力シート!A:X,D103,FALSE),0)</f>
        <v>195</v>
      </c>
      <c r="C103" s="17">
        <f>ROUND(VLOOKUP(B$87&amp;"_2",管理者用人口入力シート!A:X,D103,FALSE),0)</f>
        <v>205</v>
      </c>
      <c r="D103" s="2">
        <v>18</v>
      </c>
      <c r="G103" s="2" t="s">
        <v>10</v>
      </c>
      <c r="H103" s="17">
        <f>ROUND(VLOOKUP(H$91&amp;"_1",管理者用人口入力シート!BH:CE,J103,FALSE),0)</f>
        <v>85</v>
      </c>
      <c r="I103" s="17">
        <f>ROUND(VLOOKUP(H$91&amp;"_2",管理者用人口入力シート!BH:CE,J103,FALSE),0)</f>
        <v>87</v>
      </c>
      <c r="J103" s="2">
        <v>14</v>
      </c>
      <c r="K103" s="12"/>
      <c r="N103" s="2" t="s">
        <v>10</v>
      </c>
      <c r="O103" s="17">
        <f>ROUND(VLOOKUP(O$91&amp;"_1",管理者用人口入力シート!CO:DL,Q103,FALSE),0)</f>
        <v>85</v>
      </c>
      <c r="P103" s="17">
        <f>ROUND(VLOOKUP(O$91&amp;"_2",管理者用人口入力シート!CO:DL,Q103,FALSE),0)</f>
        <v>87</v>
      </c>
      <c r="Q103" s="2">
        <v>14</v>
      </c>
      <c r="T103" s="85"/>
    </row>
    <row r="104" spans="1:20" x14ac:dyDescent="0.15">
      <c r="A104" s="2" t="s">
        <v>15</v>
      </c>
      <c r="B104" s="17">
        <f>ROUND(VLOOKUP(B$87&amp;"_1",管理者用人口入力シート!A:X,D104,FALSE),0)</f>
        <v>126</v>
      </c>
      <c r="C104" s="17">
        <f>ROUND(VLOOKUP(B$87&amp;"_2",管理者用人口入力シート!A:X,D104,FALSE),0)</f>
        <v>166</v>
      </c>
      <c r="D104" s="2">
        <v>19</v>
      </c>
      <c r="G104" s="2" t="s">
        <v>11</v>
      </c>
      <c r="H104" s="17">
        <f>ROUND(VLOOKUP(H$91&amp;"_1",管理者用人口入力シート!BH:CE,J104,FALSE),0)</f>
        <v>100</v>
      </c>
      <c r="I104" s="17">
        <f>ROUND(VLOOKUP(H$91&amp;"_2",管理者用人口入力シート!BH:CE,J104,FALSE),0)</f>
        <v>98</v>
      </c>
      <c r="J104" s="2">
        <v>15</v>
      </c>
      <c r="K104" s="12"/>
      <c r="N104" s="2" t="s">
        <v>11</v>
      </c>
      <c r="O104" s="17">
        <f>ROUND(VLOOKUP(O$91&amp;"_1",管理者用人口入力シート!CO:DL,Q104,FALSE),0)</f>
        <v>100</v>
      </c>
      <c r="P104" s="17">
        <f>ROUND(VLOOKUP(O$91&amp;"_2",管理者用人口入力シート!CO:DL,Q104,FALSE),0)</f>
        <v>98</v>
      </c>
      <c r="Q104" s="2">
        <v>15</v>
      </c>
      <c r="T104" s="85"/>
    </row>
    <row r="105" spans="1:20" x14ac:dyDescent="0.15">
      <c r="A105" s="2" t="s">
        <v>16</v>
      </c>
      <c r="B105" s="17">
        <f>ROUND(VLOOKUP(B$87&amp;"_1",管理者用人口入力シート!A:X,D105,FALSE),0)</f>
        <v>101</v>
      </c>
      <c r="C105" s="17">
        <f>ROUND(VLOOKUP(B$87&amp;"_2",管理者用人口入力シート!A:X,D105,FALSE),0)</f>
        <v>122</v>
      </c>
      <c r="D105" s="2">
        <v>20</v>
      </c>
      <c r="G105" s="2" t="s">
        <v>12</v>
      </c>
      <c r="H105" s="17">
        <f>ROUND(VLOOKUP(H$91&amp;"_1",管理者用人口入力シート!BH:CE,J105,FALSE),0)</f>
        <v>90</v>
      </c>
      <c r="I105" s="17">
        <f>ROUND(VLOOKUP(H$91&amp;"_2",管理者用人口入力シート!BH:CE,J105,FALSE),0)</f>
        <v>107</v>
      </c>
      <c r="J105" s="2">
        <v>16</v>
      </c>
      <c r="K105" s="12"/>
      <c r="N105" s="2" t="s">
        <v>12</v>
      </c>
      <c r="O105" s="17">
        <f>ROUND(VLOOKUP(O$91&amp;"_1",管理者用人口入力シート!CO:DL,Q105,FALSE),0)</f>
        <v>90</v>
      </c>
      <c r="P105" s="17">
        <f>ROUND(VLOOKUP(O$91&amp;"_2",管理者用人口入力シート!CO:DL,Q105,FALSE),0)</f>
        <v>107</v>
      </c>
      <c r="Q105" s="2">
        <v>16</v>
      </c>
      <c r="T105" s="85"/>
    </row>
    <row r="106" spans="1:20" x14ac:dyDescent="0.15">
      <c r="A106" s="2" t="s">
        <v>17</v>
      </c>
      <c r="B106" s="17">
        <f>ROUND(VLOOKUP(B$87&amp;"_1",管理者用人口入力シート!A:X,D106,FALSE),0)</f>
        <v>57</v>
      </c>
      <c r="C106" s="17">
        <f>ROUND(VLOOKUP(B$87&amp;"_2",管理者用人口入力シート!A:X,D106,FALSE),0)</f>
        <v>124</v>
      </c>
      <c r="D106" s="2">
        <v>21</v>
      </c>
      <c r="G106" s="2" t="s">
        <v>13</v>
      </c>
      <c r="H106" s="17">
        <f>ROUND(VLOOKUP(H$91&amp;"_1",管理者用人口入力シート!BH:CE,J106,FALSE),0)</f>
        <v>123</v>
      </c>
      <c r="I106" s="17">
        <f>ROUND(VLOOKUP(H$91&amp;"_2",管理者用人口入力シート!BH:CE,J106,FALSE),0)</f>
        <v>133</v>
      </c>
      <c r="J106" s="2">
        <v>17</v>
      </c>
      <c r="K106" s="12"/>
      <c r="N106" s="2" t="s">
        <v>13</v>
      </c>
      <c r="O106" s="17">
        <f>ROUND(VLOOKUP(O$91&amp;"_1",管理者用人口入力シート!CO:DL,Q106,FALSE),0)</f>
        <v>123</v>
      </c>
      <c r="P106" s="17">
        <f>ROUND(VLOOKUP(O$91&amp;"_2",管理者用人口入力シート!CO:DL,Q106,FALSE),0)</f>
        <v>133</v>
      </c>
      <c r="Q106" s="2">
        <v>17</v>
      </c>
      <c r="T106" s="85"/>
    </row>
    <row r="107" spans="1:20" x14ac:dyDescent="0.15">
      <c r="A107" s="2" t="s">
        <v>18</v>
      </c>
      <c r="B107" s="17">
        <f>ROUND(VLOOKUP(B$87&amp;"_1",管理者用人口入力シート!A:X,D107,FALSE),0)</f>
        <v>29</v>
      </c>
      <c r="C107" s="17">
        <f>ROUND(VLOOKUP(B$87&amp;"_2",管理者用人口入力シート!A:X,D107,FALSE),0)</f>
        <v>81</v>
      </c>
      <c r="D107" s="2">
        <v>22</v>
      </c>
      <c r="G107" s="2" t="s">
        <v>14</v>
      </c>
      <c r="H107" s="17">
        <f>ROUND(VLOOKUP(H$91&amp;"_1",管理者用人口入力シート!BH:CE,J107,FALSE),0)</f>
        <v>140</v>
      </c>
      <c r="I107" s="17">
        <f>ROUND(VLOOKUP(H$91&amp;"_2",管理者用人口入力シート!BH:CE,J107,FALSE),0)</f>
        <v>156</v>
      </c>
      <c r="J107" s="2">
        <v>18</v>
      </c>
      <c r="K107" s="12"/>
      <c r="N107" s="2" t="s">
        <v>14</v>
      </c>
      <c r="O107" s="17">
        <f>ROUND(VLOOKUP(O$91&amp;"_1",管理者用人口入力シート!CO:DL,Q107,FALSE),0)</f>
        <v>140</v>
      </c>
      <c r="P107" s="17">
        <f>ROUND(VLOOKUP(O$91&amp;"_2",管理者用人口入力シート!CO:DL,Q107,FALSE),0)</f>
        <v>156</v>
      </c>
      <c r="Q107" s="2">
        <v>18</v>
      </c>
      <c r="T107" s="85"/>
    </row>
    <row r="108" spans="1:20" x14ac:dyDescent="0.15">
      <c r="A108" s="2" t="s">
        <v>19</v>
      </c>
      <c r="B108" s="17">
        <f>ROUND(VLOOKUP(B$87&amp;"_1",管理者用人口入力シート!A:X,D108,FALSE),0)</f>
        <v>2</v>
      </c>
      <c r="C108" s="17">
        <f>ROUND(VLOOKUP(B$87&amp;"_2",管理者用人口入力シート!A:X,D108,FALSE),0)</f>
        <v>27</v>
      </c>
      <c r="D108" s="2">
        <v>23</v>
      </c>
      <c r="G108" s="2" t="s">
        <v>15</v>
      </c>
      <c r="H108" s="17">
        <f>ROUND(VLOOKUP(H$91&amp;"_1",管理者用人口入力シート!BH:CE,J108,FALSE),0)</f>
        <v>158</v>
      </c>
      <c r="I108" s="17">
        <f>ROUND(VLOOKUP(H$91&amp;"_2",管理者用人口入力シート!BH:CE,J108,FALSE),0)</f>
        <v>173</v>
      </c>
      <c r="J108" s="2">
        <v>19</v>
      </c>
      <c r="K108" s="12"/>
      <c r="N108" s="2" t="s">
        <v>15</v>
      </c>
      <c r="O108" s="17">
        <f>ROUND(VLOOKUP(O$91&amp;"_1",管理者用人口入力シート!CO:DL,Q108,FALSE),0)</f>
        <v>158</v>
      </c>
      <c r="P108" s="17">
        <f>ROUND(VLOOKUP(O$91&amp;"_2",管理者用人口入力シート!CO:DL,Q108,FALSE),0)</f>
        <v>173</v>
      </c>
      <c r="Q108" s="2">
        <v>19</v>
      </c>
      <c r="T108" s="85"/>
    </row>
    <row r="109" spans="1:20" x14ac:dyDescent="0.15">
      <c r="A109" s="2" t="s">
        <v>20</v>
      </c>
      <c r="B109" s="17">
        <f>ROUND(VLOOKUP(B$87&amp;"_1",管理者用人口入力シート!A:X,D109,FALSE),0)</f>
        <v>1</v>
      </c>
      <c r="C109" s="17">
        <f>ROUND(VLOOKUP(B$87&amp;"_2",管理者用人口入力シート!A:X,D109,FALSE),0)</f>
        <v>2</v>
      </c>
      <c r="D109" s="2">
        <v>24</v>
      </c>
      <c r="G109" s="2" t="s">
        <v>16</v>
      </c>
      <c r="H109" s="17">
        <f>ROUND(VLOOKUP(H$91&amp;"_1",管理者用人口入力シート!BH:CE,J109,FALSE),0)</f>
        <v>127</v>
      </c>
      <c r="I109" s="17">
        <f>ROUND(VLOOKUP(H$91&amp;"_2",管理者用人口入力シート!BH:CE,J109,FALSE),0)</f>
        <v>149</v>
      </c>
      <c r="J109" s="2">
        <v>20</v>
      </c>
      <c r="K109" s="12"/>
      <c r="N109" s="2" t="s">
        <v>16</v>
      </c>
      <c r="O109" s="17">
        <f>ROUND(VLOOKUP(O$91&amp;"_1",管理者用人口入力シート!CO:DL,Q109,FALSE),0)</f>
        <v>127</v>
      </c>
      <c r="P109" s="17">
        <f>ROUND(VLOOKUP(O$91&amp;"_2",管理者用人口入力シート!CO:DL,Q109,FALSE),0)</f>
        <v>149</v>
      </c>
      <c r="Q109" s="2">
        <v>20</v>
      </c>
      <c r="T109" s="85"/>
    </row>
    <row r="110" spans="1:20" x14ac:dyDescent="0.15">
      <c r="G110" s="2" t="s">
        <v>17</v>
      </c>
      <c r="H110" s="17">
        <f>ROUND(VLOOKUP(H$91&amp;"_1",管理者用人口入力シート!BH:CE,J110,FALSE),0)</f>
        <v>52</v>
      </c>
      <c r="I110" s="17">
        <f>ROUND(VLOOKUP(H$91&amp;"_2",管理者用人口入力シート!BH:CE,J110,FALSE),0)</f>
        <v>101</v>
      </c>
      <c r="J110" s="2">
        <v>21</v>
      </c>
      <c r="K110" s="12"/>
      <c r="N110" s="2" t="s">
        <v>17</v>
      </c>
      <c r="O110" s="17">
        <f>ROUND(VLOOKUP(O$91&amp;"_1",管理者用人口入力シート!CO:DL,Q110,FALSE),0)</f>
        <v>52</v>
      </c>
      <c r="P110" s="17">
        <f>ROUND(VLOOKUP(O$91&amp;"_2",管理者用人口入力シート!CO:DL,Q110,FALSE),0)</f>
        <v>101</v>
      </c>
      <c r="Q110" s="2">
        <v>21</v>
      </c>
      <c r="T110" s="85"/>
    </row>
    <row r="111" spans="1:20" x14ac:dyDescent="0.15">
      <c r="G111" s="2" t="s">
        <v>18</v>
      </c>
      <c r="H111" s="17">
        <f>ROUND(VLOOKUP(H$91&amp;"_1",管理者用人口入力シート!BH:CE,J111,FALSE),0)</f>
        <v>21</v>
      </c>
      <c r="I111" s="17">
        <f>ROUND(VLOOKUP(H$91&amp;"_2",管理者用人口入力シート!BH:CE,J111,FALSE),0)</f>
        <v>52</v>
      </c>
      <c r="J111" s="2">
        <v>22</v>
      </c>
      <c r="K111" s="12"/>
      <c r="N111" s="2" t="s">
        <v>18</v>
      </c>
      <c r="O111" s="17">
        <f>ROUND(VLOOKUP(O$91&amp;"_1",管理者用人口入力シート!CO:DL,Q111,FALSE),0)</f>
        <v>21</v>
      </c>
      <c r="P111" s="17">
        <f>ROUND(VLOOKUP(O$91&amp;"_2",管理者用人口入力シート!CO:DL,Q111,FALSE),0)</f>
        <v>52</v>
      </c>
      <c r="Q111" s="2">
        <v>22</v>
      </c>
      <c r="T111" s="85"/>
    </row>
    <row r="112" spans="1:20" x14ac:dyDescent="0.15">
      <c r="G112" s="2" t="s">
        <v>19</v>
      </c>
      <c r="H112" s="17">
        <f>ROUND(VLOOKUP(H$91&amp;"_1",管理者用人口入力シート!BH:CE,J112,FALSE),0)</f>
        <v>3</v>
      </c>
      <c r="I112" s="17">
        <f>ROUND(VLOOKUP(H$91&amp;"_2",管理者用人口入力シート!BH:CE,J112,FALSE),0)</f>
        <v>24</v>
      </c>
      <c r="J112" s="2">
        <v>23</v>
      </c>
      <c r="K112" s="12"/>
      <c r="N112" s="2" t="s">
        <v>19</v>
      </c>
      <c r="O112" s="17">
        <f>ROUND(VLOOKUP(O$91&amp;"_1",管理者用人口入力シート!CO:DL,Q112,FALSE),0)</f>
        <v>3</v>
      </c>
      <c r="P112" s="17">
        <f>ROUND(VLOOKUP(O$91&amp;"_2",管理者用人口入力シート!CO:DL,Q112,FALSE),0)</f>
        <v>24</v>
      </c>
      <c r="Q112" s="2">
        <v>23</v>
      </c>
      <c r="T112" s="85"/>
    </row>
    <row r="113" spans="7:20" x14ac:dyDescent="0.15">
      <c r="G113" s="2" t="s">
        <v>20</v>
      </c>
      <c r="H113" s="17">
        <f>ROUND(VLOOKUP(H$91&amp;"_1",管理者用人口入力シート!BH:CE,J113,FALSE),0)</f>
        <v>0</v>
      </c>
      <c r="I113" s="17">
        <f>ROUND(VLOOKUP(H$91&amp;"_2",管理者用人口入力シート!BH:CE,J113,FALSE),0)</f>
        <v>3</v>
      </c>
      <c r="J113" s="2">
        <v>24</v>
      </c>
      <c r="K113" s="12"/>
      <c r="N113" s="2" t="s">
        <v>20</v>
      </c>
      <c r="O113" s="17">
        <f>ROUND(VLOOKUP(O$91&amp;"_1",管理者用人口入力シート!CO:DL,Q113,FALSE),0)</f>
        <v>0</v>
      </c>
      <c r="P113" s="17">
        <f>ROUND(VLOOKUP(O$91&amp;"_2",管理者用人口入力シート!CO:DL,Q113,FALSE),0)</f>
        <v>3</v>
      </c>
      <c r="Q113" s="2">
        <v>24</v>
      </c>
      <c r="T113" s="85"/>
    </row>
    <row r="115" spans="7:20" x14ac:dyDescent="0.15">
      <c r="G115" s="2" t="s">
        <v>394</v>
      </c>
      <c r="H115" s="316">
        <f>管理者入力シート!B10</f>
        <v>2035</v>
      </c>
      <c r="I115" s="317"/>
      <c r="J115" s="2" t="s">
        <v>114</v>
      </c>
      <c r="O115" s="316">
        <f>管理者入力シート!B10</f>
        <v>2035</v>
      </c>
      <c r="P115" s="317"/>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32</v>
      </c>
      <c r="I117" s="17">
        <f>ROUND(VLOOKUP(H$115&amp;"_2",管理者用人口入力シート!BH:CE,J117,FALSE),0)</f>
        <v>28</v>
      </c>
      <c r="J117" s="2">
        <v>4</v>
      </c>
      <c r="N117" s="2" t="s">
        <v>0</v>
      </c>
      <c r="O117" s="17">
        <f>ROUND(VLOOKUP(O$115&amp;"_1",管理者用人口入力シート!CO:DL,Q117,FALSE),0)</f>
        <v>34</v>
      </c>
      <c r="P117" s="17">
        <f>ROUND(VLOOKUP(O$115&amp;"_2",管理者用人口入力シート!CO:DL,Q117,FALSE),0)</f>
        <v>30</v>
      </c>
      <c r="Q117" s="2">
        <v>4</v>
      </c>
      <c r="T117" s="85"/>
    </row>
    <row r="118" spans="7:20" x14ac:dyDescent="0.15">
      <c r="G118" s="2" t="s">
        <v>1</v>
      </c>
      <c r="H118" s="17">
        <f>ROUND(VLOOKUP(H$115&amp;"_1",管理者用人口入力シート!BH:CE,J118,FALSE),0)</f>
        <v>44</v>
      </c>
      <c r="I118" s="17">
        <f>ROUND(VLOOKUP(H$115&amp;"_2",管理者用人口入力シート!BH:CE,J118,FALSE),0)</f>
        <v>31</v>
      </c>
      <c r="J118" s="2">
        <v>5</v>
      </c>
      <c r="N118" s="2" t="s">
        <v>1</v>
      </c>
      <c r="O118" s="17">
        <f>ROUND(VLOOKUP(O$115&amp;"_1",管理者用人口入力シート!CO:DL,Q118,FALSE),0)</f>
        <v>46</v>
      </c>
      <c r="P118" s="17">
        <f>ROUND(VLOOKUP(O$115&amp;"_2",管理者用人口入力シート!CO:DL,Q118,FALSE),0)</f>
        <v>33</v>
      </c>
      <c r="Q118" s="2">
        <v>5</v>
      </c>
      <c r="T118" s="85"/>
    </row>
    <row r="119" spans="7:20" x14ac:dyDescent="0.15">
      <c r="G119" s="2" t="s">
        <v>2</v>
      </c>
      <c r="H119" s="17">
        <f>ROUND(VLOOKUP(H$115&amp;"_1",管理者用人口入力シート!BH:CE,J119,FALSE),0)</f>
        <v>53</v>
      </c>
      <c r="I119" s="17">
        <f>ROUND(VLOOKUP(H$115&amp;"_2",管理者用人口入力シート!BH:CE,J119,FALSE),0)</f>
        <v>38</v>
      </c>
      <c r="J119" s="2">
        <v>6</v>
      </c>
      <c r="N119" s="2" t="s">
        <v>2</v>
      </c>
      <c r="O119" s="17">
        <f>ROUND(VLOOKUP(O$115&amp;"_1",管理者用人口入力シート!CO:DL,Q119,FALSE),0)</f>
        <v>56</v>
      </c>
      <c r="P119" s="17">
        <f>ROUND(VLOOKUP(O$115&amp;"_2",管理者用人口入力シート!CO:DL,Q119,FALSE),0)</f>
        <v>40</v>
      </c>
      <c r="Q119" s="2">
        <v>6</v>
      </c>
      <c r="T119" s="85"/>
    </row>
    <row r="120" spans="7:20" x14ac:dyDescent="0.15">
      <c r="G120" s="2" t="s">
        <v>3</v>
      </c>
      <c r="H120" s="17">
        <f>ROUND(VLOOKUP(H$115&amp;"_1",管理者用人口入力シート!BH:CE,J120,FALSE),0)</f>
        <v>53</v>
      </c>
      <c r="I120" s="17">
        <f>ROUND(VLOOKUP(H$115&amp;"_2",管理者用人口入力シート!BH:CE,J120,FALSE),0)</f>
        <v>41</v>
      </c>
      <c r="J120" s="2">
        <v>7</v>
      </c>
      <c r="N120" s="2" t="s">
        <v>3</v>
      </c>
      <c r="O120" s="17">
        <f>ROUND(VLOOKUP(O$115&amp;"_1",管理者用人口入力シート!CO:DL,Q120,FALSE),0)</f>
        <v>54</v>
      </c>
      <c r="P120" s="17">
        <f>ROUND(VLOOKUP(O$115&amp;"_2",管理者用人口入力シート!CO:DL,Q120,FALSE),0)</f>
        <v>42</v>
      </c>
      <c r="Q120" s="2">
        <v>7</v>
      </c>
      <c r="T120" s="85"/>
    </row>
    <row r="121" spans="7:20" x14ac:dyDescent="0.15">
      <c r="G121" s="2" t="s">
        <v>4</v>
      </c>
      <c r="H121" s="17">
        <f>ROUND(VLOOKUP(H$115&amp;"_1",管理者用人口入力シート!BH:CE,J121,FALSE),0)</f>
        <v>26</v>
      </c>
      <c r="I121" s="17">
        <f>ROUND(VLOOKUP(H$115&amp;"_2",管理者用人口入力シート!BH:CE,J121,FALSE),0)</f>
        <v>29</v>
      </c>
      <c r="J121" s="2">
        <v>8</v>
      </c>
      <c r="N121" s="2" t="s">
        <v>4</v>
      </c>
      <c r="O121" s="17">
        <f>ROUND(VLOOKUP(O$115&amp;"_1",管理者用人口入力シート!CO:DL,Q121,FALSE),0)</f>
        <v>26</v>
      </c>
      <c r="P121" s="17">
        <f>ROUND(VLOOKUP(O$115&amp;"_2",管理者用人口入力シート!CO:DL,Q121,FALSE),0)</f>
        <v>29</v>
      </c>
      <c r="Q121" s="2">
        <v>8</v>
      </c>
      <c r="T121" s="85"/>
    </row>
    <row r="122" spans="7:20" x14ac:dyDescent="0.15">
      <c r="G122" s="2" t="s">
        <v>5</v>
      </c>
      <c r="H122" s="17">
        <f>ROUND(VLOOKUP(H$115&amp;"_1",管理者用人口入力シート!BH:CE,J122,FALSE),0)</f>
        <v>29</v>
      </c>
      <c r="I122" s="17">
        <f>ROUND(VLOOKUP(H$115&amp;"_2",管理者用人口入力シート!BH:CE,J122,FALSE),0)</f>
        <v>30</v>
      </c>
      <c r="J122" s="2">
        <v>9</v>
      </c>
      <c r="N122" s="2" t="s">
        <v>5</v>
      </c>
      <c r="O122" s="17">
        <f>ROUND(VLOOKUP(O$115&amp;"_1",管理者用人口入力シート!CO:DL,Q122,FALSE),0)</f>
        <v>31</v>
      </c>
      <c r="P122" s="17">
        <f>ROUND(VLOOKUP(O$115&amp;"_2",管理者用人口入力シート!CO:DL,Q122,FALSE),0)</f>
        <v>32</v>
      </c>
      <c r="Q122" s="2">
        <v>9</v>
      </c>
      <c r="T122" s="85"/>
    </row>
    <row r="123" spans="7:20" x14ac:dyDescent="0.15">
      <c r="G123" s="2" t="s">
        <v>6</v>
      </c>
      <c r="H123" s="17">
        <f>ROUND(VLOOKUP(H$115&amp;"_1",管理者用人口入力シート!BH:CE,J123,FALSE),0)</f>
        <v>31</v>
      </c>
      <c r="I123" s="17">
        <f>ROUND(VLOOKUP(H$115&amp;"_2",管理者用人口入力シート!BH:CE,J123,FALSE),0)</f>
        <v>32</v>
      </c>
      <c r="J123" s="2">
        <v>10</v>
      </c>
      <c r="N123" s="2" t="s">
        <v>6</v>
      </c>
      <c r="O123" s="17">
        <f>ROUND(VLOOKUP(O$115&amp;"_1",管理者用人口入力シート!CO:DL,Q123,FALSE),0)</f>
        <v>32</v>
      </c>
      <c r="P123" s="17">
        <f>ROUND(VLOOKUP(O$115&amp;"_2",管理者用人口入力シート!CO:DL,Q123,FALSE),0)</f>
        <v>34</v>
      </c>
      <c r="Q123" s="2">
        <v>10</v>
      </c>
      <c r="T123" s="85"/>
    </row>
    <row r="124" spans="7:20" x14ac:dyDescent="0.15">
      <c r="G124" s="2" t="s">
        <v>7</v>
      </c>
      <c r="H124" s="17">
        <f>ROUND(VLOOKUP(H$115&amp;"_1",管理者用人口入力シート!BH:CE,J124,FALSE),0)</f>
        <v>29</v>
      </c>
      <c r="I124" s="17">
        <f>ROUND(VLOOKUP(H$115&amp;"_2",管理者用人口入力シート!BH:CE,J124,FALSE),0)</f>
        <v>34</v>
      </c>
      <c r="J124" s="2">
        <v>11</v>
      </c>
      <c r="N124" s="2" t="s">
        <v>7</v>
      </c>
      <c r="O124" s="17">
        <f>ROUND(VLOOKUP(O$115&amp;"_1",管理者用人口入力シート!CO:DL,Q124,FALSE),0)</f>
        <v>31</v>
      </c>
      <c r="P124" s="17">
        <f>ROUND(VLOOKUP(O$115&amp;"_2",管理者用人口入力シート!CO:DL,Q124,FALSE),0)</f>
        <v>35</v>
      </c>
      <c r="Q124" s="2">
        <v>11</v>
      </c>
      <c r="T124" s="85"/>
    </row>
    <row r="125" spans="7:20" x14ac:dyDescent="0.15">
      <c r="G125" s="2" t="s">
        <v>8</v>
      </c>
      <c r="H125" s="17">
        <f>ROUND(VLOOKUP(H$115&amp;"_1",管理者用人口入力シート!BH:CE,J125,FALSE),0)</f>
        <v>44</v>
      </c>
      <c r="I125" s="17">
        <f>ROUND(VLOOKUP(H$115&amp;"_2",管理者用人口入力シート!BH:CE,J125,FALSE),0)</f>
        <v>40</v>
      </c>
      <c r="J125" s="2">
        <v>12</v>
      </c>
      <c r="N125" s="2" t="s">
        <v>8</v>
      </c>
      <c r="O125" s="17">
        <f>ROUND(VLOOKUP(O$115&amp;"_1",管理者用人口入力シート!CO:DL,Q125,FALSE),0)</f>
        <v>44</v>
      </c>
      <c r="P125" s="17">
        <f>ROUND(VLOOKUP(O$115&amp;"_2",管理者用人口入力シート!CO:DL,Q125,FALSE),0)</f>
        <v>41</v>
      </c>
      <c r="Q125" s="2">
        <v>12</v>
      </c>
      <c r="T125" s="85"/>
    </row>
    <row r="126" spans="7:20" x14ac:dyDescent="0.15">
      <c r="G126" s="2" t="s">
        <v>9</v>
      </c>
      <c r="H126" s="17">
        <f>ROUND(VLOOKUP(H$115&amp;"_1",管理者用人口入力シート!BH:CE,J126,FALSE),0)</f>
        <v>51</v>
      </c>
      <c r="I126" s="17">
        <f>ROUND(VLOOKUP(H$115&amp;"_2",管理者用人口入力シート!BH:CE,J126,FALSE),0)</f>
        <v>54</v>
      </c>
      <c r="J126" s="2">
        <v>13</v>
      </c>
      <c r="N126" s="2" t="s">
        <v>9</v>
      </c>
      <c r="O126" s="17">
        <f>ROUND(VLOOKUP(O$115&amp;"_1",管理者用人口入力シート!CO:DL,Q126,FALSE),0)</f>
        <v>51</v>
      </c>
      <c r="P126" s="17">
        <f>ROUND(VLOOKUP(O$115&amp;"_2",管理者用人口入力シート!CO:DL,Q126,FALSE),0)</f>
        <v>55</v>
      </c>
      <c r="Q126" s="2">
        <v>13</v>
      </c>
      <c r="T126" s="85"/>
    </row>
    <row r="127" spans="7:20" x14ac:dyDescent="0.15">
      <c r="G127" s="2" t="s">
        <v>10</v>
      </c>
      <c r="H127" s="17">
        <f>ROUND(VLOOKUP(H$115&amp;"_1",管理者用人口入力シート!BH:CE,J127,FALSE),0)</f>
        <v>97</v>
      </c>
      <c r="I127" s="17">
        <f>ROUND(VLOOKUP(H$115&amp;"_2",管理者用人口入力シート!BH:CE,J127,FALSE),0)</f>
        <v>74</v>
      </c>
      <c r="J127" s="2">
        <v>14</v>
      </c>
      <c r="N127" s="2" t="s">
        <v>10</v>
      </c>
      <c r="O127" s="17">
        <f>ROUND(VLOOKUP(O$115&amp;"_1",管理者用人口入力シート!CO:DL,Q127,FALSE),0)</f>
        <v>97</v>
      </c>
      <c r="P127" s="17">
        <f>ROUND(VLOOKUP(O$115&amp;"_2",管理者用人口入力シート!CO:DL,Q127,FALSE),0)</f>
        <v>75</v>
      </c>
      <c r="Q127" s="2">
        <v>14</v>
      </c>
      <c r="T127" s="85"/>
    </row>
    <row r="128" spans="7:20" x14ac:dyDescent="0.15">
      <c r="G128" s="2" t="s">
        <v>11</v>
      </c>
      <c r="H128" s="17">
        <f>ROUND(VLOOKUP(H$115&amp;"_1",管理者用人口入力シート!BH:CE,J128,FALSE),0)</f>
        <v>85</v>
      </c>
      <c r="I128" s="17">
        <f>ROUND(VLOOKUP(H$115&amp;"_2",管理者用人口入力シート!BH:CE,J128,FALSE),0)</f>
        <v>84</v>
      </c>
      <c r="J128" s="2">
        <v>15</v>
      </c>
      <c r="N128" s="2" t="s">
        <v>11</v>
      </c>
      <c r="O128" s="17">
        <f>ROUND(VLOOKUP(O$115&amp;"_1",管理者用人口入力シート!CO:DL,Q128,FALSE),0)</f>
        <v>85</v>
      </c>
      <c r="P128" s="17">
        <f>ROUND(VLOOKUP(O$115&amp;"_2",管理者用人口入力シート!CO:DL,Q128,FALSE),0)</f>
        <v>84</v>
      </c>
      <c r="Q128" s="2">
        <v>15</v>
      </c>
      <c r="T128" s="85"/>
    </row>
    <row r="129" spans="7:20" x14ac:dyDescent="0.15">
      <c r="G129" s="2" t="s">
        <v>12</v>
      </c>
      <c r="H129" s="17">
        <f>ROUND(VLOOKUP(H$115&amp;"_1",管理者用人口入力シート!BH:CE,J129,FALSE),0)</f>
        <v>97</v>
      </c>
      <c r="I129" s="17">
        <f>ROUND(VLOOKUP(H$115&amp;"_2",管理者用人口入力シート!BH:CE,J129,FALSE),0)</f>
        <v>97</v>
      </c>
      <c r="J129" s="2">
        <v>16</v>
      </c>
      <c r="N129" s="2" t="s">
        <v>12</v>
      </c>
      <c r="O129" s="17">
        <f>ROUND(VLOOKUP(O$115&amp;"_1",管理者用人口入力シート!CO:DL,Q129,FALSE),0)</f>
        <v>97</v>
      </c>
      <c r="P129" s="17">
        <f>ROUND(VLOOKUP(O$115&amp;"_2",管理者用人口入力シート!CO:DL,Q129,FALSE),0)</f>
        <v>97</v>
      </c>
      <c r="Q129" s="2">
        <v>16</v>
      </c>
      <c r="T129" s="85"/>
    </row>
    <row r="130" spans="7:20" x14ac:dyDescent="0.15">
      <c r="G130" s="2" t="s">
        <v>13</v>
      </c>
      <c r="H130" s="17">
        <f>ROUND(VLOOKUP(H$115&amp;"_1",管理者用人口入力シート!BH:CE,J130,FALSE),0)</f>
        <v>88</v>
      </c>
      <c r="I130" s="17">
        <f>ROUND(VLOOKUP(H$115&amp;"_2",管理者用人口入力シート!BH:CE,J130,FALSE),0)</f>
        <v>107</v>
      </c>
      <c r="J130" s="2">
        <v>17</v>
      </c>
      <c r="N130" s="2" t="s">
        <v>13</v>
      </c>
      <c r="O130" s="17">
        <f>ROUND(VLOOKUP(O$115&amp;"_1",管理者用人口入力シート!CO:DL,Q130,FALSE),0)</f>
        <v>88</v>
      </c>
      <c r="P130" s="17">
        <f>ROUND(VLOOKUP(O$115&amp;"_2",管理者用人口入力シート!CO:DL,Q130,FALSE),0)</f>
        <v>107</v>
      </c>
      <c r="Q130" s="2">
        <v>17</v>
      </c>
      <c r="T130" s="85"/>
    </row>
    <row r="131" spans="7:20" x14ac:dyDescent="0.15">
      <c r="G131" s="2" t="s">
        <v>14</v>
      </c>
      <c r="H131" s="17">
        <f>ROUND(VLOOKUP(H$115&amp;"_1",管理者用人口入力シート!BH:CE,J131,FALSE),0)</f>
        <v>114</v>
      </c>
      <c r="I131" s="17">
        <f>ROUND(VLOOKUP(H$115&amp;"_2",管理者用人口入力シート!BH:CE,J131,FALSE),0)</f>
        <v>126</v>
      </c>
      <c r="J131" s="2">
        <v>18</v>
      </c>
      <c r="N131" s="2" t="s">
        <v>14</v>
      </c>
      <c r="O131" s="17">
        <f>ROUND(VLOOKUP(O$115&amp;"_1",管理者用人口入力シート!CO:DL,Q131,FALSE),0)</f>
        <v>114</v>
      </c>
      <c r="P131" s="17">
        <f>ROUND(VLOOKUP(O$115&amp;"_2",管理者用人口入力シート!CO:DL,Q131,FALSE),0)</f>
        <v>126</v>
      </c>
      <c r="Q131" s="2">
        <v>18</v>
      </c>
      <c r="T131" s="85"/>
    </row>
    <row r="132" spans="7:20" x14ac:dyDescent="0.15">
      <c r="G132" s="2" t="s">
        <v>15</v>
      </c>
      <c r="H132" s="17">
        <f>ROUND(VLOOKUP(H$115&amp;"_1",管理者用人口入力シート!BH:CE,J132,FALSE),0)</f>
        <v>119</v>
      </c>
      <c r="I132" s="17">
        <f>ROUND(VLOOKUP(H$115&amp;"_2",管理者用人口入力シート!BH:CE,J132,FALSE),0)</f>
        <v>145</v>
      </c>
      <c r="J132" s="2">
        <v>19</v>
      </c>
      <c r="N132" s="2" t="s">
        <v>15</v>
      </c>
      <c r="O132" s="17">
        <f>ROUND(VLOOKUP(O$115&amp;"_1",管理者用人口入力シート!CO:DL,Q132,FALSE),0)</f>
        <v>119</v>
      </c>
      <c r="P132" s="17">
        <f>ROUND(VLOOKUP(O$115&amp;"_2",管理者用人口入力シート!CO:DL,Q132,FALSE),0)</f>
        <v>145</v>
      </c>
      <c r="Q132" s="2">
        <v>19</v>
      </c>
      <c r="T132" s="85"/>
    </row>
    <row r="133" spans="7:20" x14ac:dyDescent="0.15">
      <c r="G133" s="2" t="s">
        <v>16</v>
      </c>
      <c r="H133" s="17">
        <f>ROUND(VLOOKUP(H$115&amp;"_1",管理者用人口入力シート!BH:CE,J133,FALSE),0)</f>
        <v>121</v>
      </c>
      <c r="I133" s="17">
        <f>ROUND(VLOOKUP(H$115&amp;"_2",管理者用人口入力シート!BH:CE,J133,FALSE),0)</f>
        <v>136</v>
      </c>
      <c r="J133" s="2">
        <v>20</v>
      </c>
      <c r="N133" s="2" t="s">
        <v>16</v>
      </c>
      <c r="O133" s="17">
        <f>ROUND(VLOOKUP(O$115&amp;"_1",管理者用人口入力シート!CO:DL,Q133,FALSE),0)</f>
        <v>121</v>
      </c>
      <c r="P133" s="17">
        <f>ROUND(VLOOKUP(O$115&amp;"_2",管理者用人口入力シート!CO:DL,Q133,FALSE),0)</f>
        <v>136</v>
      </c>
      <c r="Q133" s="2">
        <v>20</v>
      </c>
      <c r="T133" s="85"/>
    </row>
    <row r="134" spans="7:20" x14ac:dyDescent="0.15">
      <c r="G134" s="2" t="s">
        <v>17</v>
      </c>
      <c r="H134" s="17">
        <f>ROUND(VLOOKUP(H$115&amp;"_1",管理者用人口入力シート!BH:CE,J134,FALSE),0)</f>
        <v>68</v>
      </c>
      <c r="I134" s="17">
        <f>ROUND(VLOOKUP(H$115&amp;"_2",管理者用人口入力シート!BH:CE,J134,FALSE),0)</f>
        <v>116</v>
      </c>
      <c r="J134" s="2">
        <v>21</v>
      </c>
      <c r="N134" s="2" t="s">
        <v>17</v>
      </c>
      <c r="O134" s="17">
        <f>ROUND(VLOOKUP(O$115&amp;"_1",管理者用人口入力シート!CO:DL,Q134,FALSE),0)</f>
        <v>68</v>
      </c>
      <c r="P134" s="17">
        <f>ROUND(VLOOKUP(O$115&amp;"_2",管理者用人口入力シート!CO:DL,Q134,FALSE),0)</f>
        <v>116</v>
      </c>
      <c r="Q134" s="2">
        <v>21</v>
      </c>
      <c r="T134" s="85"/>
    </row>
    <row r="135" spans="7:20" x14ac:dyDescent="0.15">
      <c r="G135" s="2" t="s">
        <v>18</v>
      </c>
      <c r="H135" s="17">
        <f>ROUND(VLOOKUP(H$115&amp;"_1",管理者用人口入力シート!BH:CE,J135,FALSE),0)</f>
        <v>20</v>
      </c>
      <c r="I135" s="17">
        <f>ROUND(VLOOKUP(H$115&amp;"_2",管理者用人口入力シート!BH:CE,J135,FALSE),0)</f>
        <v>55</v>
      </c>
      <c r="J135" s="2">
        <v>22</v>
      </c>
      <c r="N135" s="2" t="s">
        <v>18</v>
      </c>
      <c r="O135" s="17">
        <f>ROUND(VLOOKUP(O$115&amp;"_1",管理者用人口入力シート!CO:DL,Q135,FALSE),0)</f>
        <v>20</v>
      </c>
      <c r="P135" s="17">
        <f>ROUND(VLOOKUP(O$115&amp;"_2",管理者用人口入力シート!CO:DL,Q135,FALSE),0)</f>
        <v>55</v>
      </c>
      <c r="Q135" s="2">
        <v>22</v>
      </c>
      <c r="T135" s="85"/>
    </row>
    <row r="136" spans="7:20" x14ac:dyDescent="0.15">
      <c r="G136" s="2" t="s">
        <v>19</v>
      </c>
      <c r="H136" s="17">
        <f>ROUND(VLOOKUP(H$115&amp;"_1",管理者用人口入力シート!BH:CE,J136,FALSE),0)</f>
        <v>3</v>
      </c>
      <c r="I136" s="17">
        <f>ROUND(VLOOKUP(H$115&amp;"_2",管理者用人口入力シート!BH:CE,J136,FALSE),0)</f>
        <v>18</v>
      </c>
      <c r="J136" s="2">
        <v>23</v>
      </c>
      <c r="N136" s="2" t="s">
        <v>19</v>
      </c>
      <c r="O136" s="17">
        <f>ROUND(VLOOKUP(O$115&amp;"_1",管理者用人口入力シート!CO:DL,Q136,FALSE),0)</f>
        <v>3</v>
      </c>
      <c r="P136" s="17">
        <f>ROUND(VLOOKUP(O$115&amp;"_2",管理者用人口入力シート!CO:DL,Q136,FALSE),0)</f>
        <v>18</v>
      </c>
      <c r="Q136" s="2">
        <v>23</v>
      </c>
      <c r="T136" s="85"/>
    </row>
    <row r="137" spans="7:20" x14ac:dyDescent="0.15">
      <c r="G137" s="2" t="s">
        <v>20</v>
      </c>
      <c r="H137" s="17">
        <f>ROUND(VLOOKUP(H$115&amp;"_1",管理者用人口入力シート!BH:CE,J137,FALSE),0)</f>
        <v>0</v>
      </c>
      <c r="I137" s="17">
        <f>ROUND(VLOOKUP(H$115&amp;"_2",管理者用人口入力シート!BH:CE,J137,FALSE),0)</f>
        <v>3</v>
      </c>
      <c r="J137" s="2">
        <v>24</v>
      </c>
      <c r="N137" s="2" t="s">
        <v>20</v>
      </c>
      <c r="O137" s="17">
        <f>ROUND(VLOOKUP(O$115&amp;"_1",管理者用人口入力シート!CO:DL,Q137,FALSE),0)</f>
        <v>0</v>
      </c>
      <c r="P137" s="17">
        <f>ROUND(VLOOKUP(O$115&amp;"_2",管理者用人口入力シート!CO:DL,Q137,FALSE),0)</f>
        <v>3</v>
      </c>
      <c r="Q137" s="2">
        <v>24</v>
      </c>
      <c r="T137" s="85"/>
    </row>
    <row r="139" spans="7:20" x14ac:dyDescent="0.15">
      <c r="G139" s="2" t="s">
        <v>109</v>
      </c>
      <c r="H139" s="316">
        <f>管理者入力シート!B11</f>
        <v>2040</v>
      </c>
      <c r="I139" s="317"/>
      <c r="J139" s="2" t="s">
        <v>114</v>
      </c>
      <c r="O139" s="316">
        <f>管理者入力シート!B11</f>
        <v>2040</v>
      </c>
      <c r="P139" s="317"/>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26</v>
      </c>
      <c r="I141" s="17">
        <f>ROUND(VLOOKUP(H$139&amp;"_2",管理者用人口入力シート!BH:CE,J141,FALSE),0)</f>
        <v>23</v>
      </c>
      <c r="J141" s="2">
        <v>4</v>
      </c>
      <c r="N141" s="2" t="s">
        <v>0</v>
      </c>
      <c r="O141" s="17">
        <f>ROUND(VLOOKUP(O$139&amp;"_1",管理者用人口入力シート!CO:DL,Q141,FALSE),0)</f>
        <v>29</v>
      </c>
      <c r="P141" s="17">
        <f>ROUND(VLOOKUP(O$139&amp;"_2",管理者用人口入力シート!CO:DL,Q141,FALSE),0)</f>
        <v>25</v>
      </c>
      <c r="Q141" s="2">
        <v>4</v>
      </c>
    </row>
    <row r="142" spans="7:20" x14ac:dyDescent="0.15">
      <c r="G142" s="2" t="s">
        <v>1</v>
      </c>
      <c r="H142" s="17">
        <f>ROUND(VLOOKUP(H$139&amp;"_1",管理者用人口入力シート!BH:CE,J142,FALSE),0)</f>
        <v>37</v>
      </c>
      <c r="I142" s="17">
        <f>ROUND(VLOOKUP(H$139&amp;"_2",管理者用人口入力シート!BH:CE,J142,FALSE),0)</f>
        <v>26</v>
      </c>
      <c r="J142" s="2">
        <v>5</v>
      </c>
      <c r="N142" s="2" t="s">
        <v>1</v>
      </c>
      <c r="O142" s="17">
        <f>ROUND(VLOOKUP(O$139&amp;"_1",管理者用人口入力シート!CO:DL,Q142,FALSE),0)</f>
        <v>40</v>
      </c>
      <c r="P142" s="17">
        <f>ROUND(VLOOKUP(O$139&amp;"_2",管理者用人口入力シート!CO:DL,Q142,FALSE),0)</f>
        <v>28</v>
      </c>
      <c r="Q142" s="2">
        <v>5</v>
      </c>
    </row>
    <row r="143" spans="7:20" x14ac:dyDescent="0.15">
      <c r="G143" s="2" t="s">
        <v>2</v>
      </c>
      <c r="H143" s="17">
        <f>ROUND(VLOOKUP(H$139&amp;"_1",管理者用人口入力シート!BH:CE,J143,FALSE),0)</f>
        <v>43</v>
      </c>
      <c r="I143" s="17">
        <f>ROUND(VLOOKUP(H$139&amp;"_2",管理者用人口入力シート!BH:CE,J143,FALSE),0)</f>
        <v>31</v>
      </c>
      <c r="J143" s="2">
        <v>6</v>
      </c>
      <c r="N143" s="2" t="s">
        <v>2</v>
      </c>
      <c r="O143" s="17">
        <f>ROUND(VLOOKUP(O$139&amp;"_1",管理者用人口入力シート!CO:DL,Q143,FALSE),0)</f>
        <v>46</v>
      </c>
      <c r="P143" s="17">
        <f>ROUND(VLOOKUP(O$139&amp;"_2",管理者用人口入力シート!CO:DL,Q143,FALSE),0)</f>
        <v>33</v>
      </c>
      <c r="Q143" s="2">
        <v>6</v>
      </c>
    </row>
    <row r="144" spans="7:20" x14ac:dyDescent="0.15">
      <c r="G144" s="2" t="s">
        <v>3</v>
      </c>
      <c r="H144" s="17">
        <f>ROUND(VLOOKUP(H$139&amp;"_1",管理者用人口入力シート!BH:CE,J144,FALSE),0)</f>
        <v>42</v>
      </c>
      <c r="I144" s="17">
        <f>ROUND(VLOOKUP(H$139&amp;"_2",管理者用人口入力シート!BH:CE,J144,FALSE),0)</f>
        <v>32</v>
      </c>
      <c r="J144" s="2">
        <v>7</v>
      </c>
      <c r="N144" s="2" t="s">
        <v>3</v>
      </c>
      <c r="O144" s="17">
        <f>ROUND(VLOOKUP(O$139&amp;"_1",管理者用人口入力シート!CO:DL,Q144,FALSE),0)</f>
        <v>43</v>
      </c>
      <c r="P144" s="17">
        <f>ROUND(VLOOKUP(O$139&amp;"_2",管理者用人口入力シート!CO:DL,Q144,FALSE),0)</f>
        <v>34</v>
      </c>
      <c r="Q144" s="2">
        <v>7</v>
      </c>
    </row>
    <row r="145" spans="7:17" x14ac:dyDescent="0.15">
      <c r="G145" s="2" t="s">
        <v>4</v>
      </c>
      <c r="H145" s="17">
        <f>ROUND(VLOOKUP(H$139&amp;"_1",管理者用人口入力シート!BH:CE,J145,FALSE),0)</f>
        <v>27</v>
      </c>
      <c r="I145" s="17">
        <f>ROUND(VLOOKUP(H$139&amp;"_2",管理者用人口入力シート!BH:CE,J145,FALSE),0)</f>
        <v>22</v>
      </c>
      <c r="J145" s="2">
        <v>8</v>
      </c>
      <c r="N145" s="2" t="s">
        <v>4</v>
      </c>
      <c r="O145" s="17">
        <f>ROUND(VLOOKUP(O$139&amp;"_1",管理者用人口入力シート!CO:DL,Q145,FALSE),0)</f>
        <v>28</v>
      </c>
      <c r="P145" s="17">
        <f>ROUND(VLOOKUP(O$139&amp;"_2",管理者用人口入力シート!CO:DL,Q145,FALSE),0)</f>
        <v>23</v>
      </c>
      <c r="Q145" s="2">
        <v>8</v>
      </c>
    </row>
    <row r="146" spans="7:17" x14ac:dyDescent="0.15">
      <c r="G146" s="2" t="s">
        <v>5</v>
      </c>
      <c r="H146" s="17">
        <f>ROUND(VLOOKUP(H$139&amp;"_1",管理者用人口入力シート!BH:CE,J146,FALSE),0)</f>
        <v>21</v>
      </c>
      <c r="I146" s="17">
        <f>ROUND(VLOOKUP(H$139&amp;"_2",管理者用人口入力シート!BH:CE,J146,FALSE),0)</f>
        <v>25</v>
      </c>
      <c r="J146" s="2">
        <v>9</v>
      </c>
      <c r="N146" s="2" t="s">
        <v>5</v>
      </c>
      <c r="O146" s="17">
        <f>ROUND(VLOOKUP(O$139&amp;"_1",管理者用人口入力シート!CO:DL,Q146,FALSE),0)</f>
        <v>24</v>
      </c>
      <c r="P146" s="17">
        <f>ROUND(VLOOKUP(O$139&amp;"_2",管理者用人口入力シート!CO:DL,Q146,FALSE),0)</f>
        <v>28</v>
      </c>
      <c r="Q146" s="2">
        <v>9</v>
      </c>
    </row>
    <row r="147" spans="7:17" x14ac:dyDescent="0.15">
      <c r="G147" s="2" t="s">
        <v>6</v>
      </c>
      <c r="H147" s="17">
        <f>ROUND(VLOOKUP(H$139&amp;"_1",管理者用人口入力シート!BH:CE,J147,FALSE),0)</f>
        <v>26</v>
      </c>
      <c r="I147" s="17">
        <f>ROUND(VLOOKUP(H$139&amp;"_2",管理者用人口入力シート!BH:CE,J147,FALSE),0)</f>
        <v>25</v>
      </c>
      <c r="J147" s="2">
        <v>10</v>
      </c>
      <c r="N147" s="2" t="s">
        <v>6</v>
      </c>
      <c r="O147" s="17">
        <f>ROUND(VLOOKUP(O$139&amp;"_1",管理者用人口入力シート!CO:DL,Q147,FALSE),0)</f>
        <v>27</v>
      </c>
      <c r="P147" s="17">
        <f>ROUND(VLOOKUP(O$139&amp;"_2",管理者用人口入力シート!CO:DL,Q147,FALSE),0)</f>
        <v>26</v>
      </c>
      <c r="Q147" s="2">
        <v>10</v>
      </c>
    </row>
    <row r="148" spans="7:17" x14ac:dyDescent="0.15">
      <c r="G148" s="2" t="s">
        <v>7</v>
      </c>
      <c r="H148" s="17">
        <f>ROUND(VLOOKUP(H$139&amp;"_1",管理者用人口入力シート!BH:CE,J148,FALSE),0)</f>
        <v>27</v>
      </c>
      <c r="I148" s="17">
        <f>ROUND(VLOOKUP(H$139&amp;"_2",管理者用人口入力シート!BH:CE,J148,FALSE),0)</f>
        <v>31</v>
      </c>
      <c r="J148" s="2">
        <v>11</v>
      </c>
      <c r="N148" s="2" t="s">
        <v>7</v>
      </c>
      <c r="O148" s="17">
        <f>ROUND(VLOOKUP(O$139&amp;"_1",管理者用人口入力シート!CO:DL,Q148,FALSE),0)</f>
        <v>29</v>
      </c>
      <c r="P148" s="17">
        <f>ROUND(VLOOKUP(O$139&amp;"_2",管理者用人口入力シート!CO:DL,Q148,FALSE),0)</f>
        <v>33</v>
      </c>
      <c r="Q148" s="2">
        <v>11</v>
      </c>
    </row>
    <row r="149" spans="7:17" x14ac:dyDescent="0.15">
      <c r="G149" s="2" t="s">
        <v>8</v>
      </c>
      <c r="H149" s="17">
        <f>ROUND(VLOOKUP(H$139&amp;"_1",管理者用人口入力シート!BH:CE,J149,FALSE),0)</f>
        <v>31</v>
      </c>
      <c r="I149" s="17">
        <f>ROUND(VLOOKUP(H$139&amp;"_2",管理者用人口入力シート!BH:CE,J149,FALSE),0)</f>
        <v>34</v>
      </c>
      <c r="J149" s="2">
        <v>12</v>
      </c>
      <c r="N149" s="2" t="s">
        <v>8</v>
      </c>
      <c r="O149" s="17">
        <f>ROUND(VLOOKUP(O$139&amp;"_1",管理者用人口入力シート!CO:DL,Q149,FALSE),0)</f>
        <v>33</v>
      </c>
      <c r="P149" s="17">
        <f>ROUND(VLOOKUP(O$139&amp;"_2",管理者用人口入力シート!CO:DL,Q149,FALSE),0)</f>
        <v>36</v>
      </c>
      <c r="Q149" s="2">
        <v>12</v>
      </c>
    </row>
    <row r="150" spans="7:17" x14ac:dyDescent="0.15">
      <c r="G150" s="2" t="s">
        <v>9</v>
      </c>
      <c r="H150" s="17">
        <f>ROUND(VLOOKUP(H$139&amp;"_1",管理者用人口入力シート!BH:CE,J150,FALSE),0)</f>
        <v>44</v>
      </c>
      <c r="I150" s="17">
        <f>ROUND(VLOOKUP(H$139&amp;"_2",管理者用人口入力シート!BH:CE,J150,FALSE),0)</f>
        <v>39</v>
      </c>
      <c r="J150" s="2">
        <v>13</v>
      </c>
      <c r="N150" s="2" t="s">
        <v>9</v>
      </c>
      <c r="O150" s="17">
        <f>ROUND(VLOOKUP(O$139&amp;"_1",管理者用人口入力シート!CO:DL,Q150,FALSE),0)</f>
        <v>44</v>
      </c>
      <c r="P150" s="17">
        <f>ROUND(VLOOKUP(O$139&amp;"_2",管理者用人口入力シート!CO:DL,Q150,FALSE),0)</f>
        <v>40</v>
      </c>
      <c r="Q150" s="2">
        <v>13</v>
      </c>
    </row>
    <row r="151" spans="7:17" x14ac:dyDescent="0.15">
      <c r="G151" s="2" t="s">
        <v>10</v>
      </c>
      <c r="H151" s="17">
        <f>ROUND(VLOOKUP(H$139&amp;"_1",管理者用人口入力シート!BH:CE,J151,FALSE),0)</f>
        <v>48</v>
      </c>
      <c r="I151" s="17">
        <f>ROUND(VLOOKUP(H$139&amp;"_2",管理者用人口入力シート!BH:CE,J151,FALSE),0)</f>
        <v>52</v>
      </c>
      <c r="J151" s="2">
        <v>14</v>
      </c>
      <c r="N151" s="2" t="s">
        <v>10</v>
      </c>
      <c r="O151" s="17">
        <f>ROUND(VLOOKUP(O$139&amp;"_1",管理者用人口入力シート!CO:DL,Q151,FALSE),0)</f>
        <v>48</v>
      </c>
      <c r="P151" s="17">
        <f>ROUND(VLOOKUP(O$139&amp;"_2",管理者用人口入力シート!CO:DL,Q151,FALSE),0)</f>
        <v>53</v>
      </c>
      <c r="Q151" s="2">
        <v>14</v>
      </c>
    </row>
    <row r="152" spans="7:17" x14ac:dyDescent="0.15">
      <c r="G152" s="2" t="s">
        <v>11</v>
      </c>
      <c r="H152" s="17">
        <f>ROUND(VLOOKUP(H$139&amp;"_1",管理者用人口入力シート!BH:CE,J152,FALSE),0)</f>
        <v>96</v>
      </c>
      <c r="I152" s="17">
        <f>ROUND(VLOOKUP(H$139&amp;"_2",管理者用人口入力シート!BH:CE,J152,FALSE),0)</f>
        <v>71</v>
      </c>
      <c r="J152" s="2">
        <v>15</v>
      </c>
      <c r="N152" s="2" t="s">
        <v>11</v>
      </c>
      <c r="O152" s="17">
        <f>ROUND(VLOOKUP(O$139&amp;"_1",管理者用人口入力シート!CO:DL,Q152,FALSE),0)</f>
        <v>96</v>
      </c>
      <c r="P152" s="17">
        <f>ROUND(VLOOKUP(O$139&amp;"_2",管理者用人口入力シート!CO:DL,Q152,FALSE),0)</f>
        <v>72</v>
      </c>
      <c r="Q152" s="2">
        <v>15</v>
      </c>
    </row>
    <row r="153" spans="7:17" x14ac:dyDescent="0.15">
      <c r="G153" s="2" t="s">
        <v>12</v>
      </c>
      <c r="H153" s="17">
        <f>ROUND(VLOOKUP(H$139&amp;"_1",管理者用人口入力シート!BH:CE,J153,FALSE),0)</f>
        <v>82</v>
      </c>
      <c r="I153" s="17">
        <f>ROUND(VLOOKUP(H$139&amp;"_2",管理者用人口入力シート!BH:CE,J153,FALSE),0)</f>
        <v>83</v>
      </c>
      <c r="J153" s="2">
        <v>16</v>
      </c>
      <c r="N153" s="2" t="s">
        <v>12</v>
      </c>
      <c r="O153" s="17">
        <f>ROUND(VLOOKUP(O$139&amp;"_1",管理者用人口入力シート!CO:DL,Q153,FALSE),0)</f>
        <v>82</v>
      </c>
      <c r="P153" s="17">
        <f>ROUND(VLOOKUP(O$139&amp;"_2",管理者用人口入力シート!CO:DL,Q153,FALSE),0)</f>
        <v>83</v>
      </c>
      <c r="Q153" s="2">
        <v>16</v>
      </c>
    </row>
    <row r="154" spans="7:17" x14ac:dyDescent="0.15">
      <c r="G154" s="2" t="s">
        <v>13</v>
      </c>
      <c r="H154" s="17">
        <f>ROUND(VLOOKUP(H$139&amp;"_1",管理者用人口入力シート!BH:CE,J154,FALSE),0)</f>
        <v>94</v>
      </c>
      <c r="I154" s="17">
        <f>ROUND(VLOOKUP(H$139&amp;"_2",管理者用人口入力シート!BH:CE,J154,FALSE),0)</f>
        <v>97</v>
      </c>
      <c r="J154" s="2">
        <v>17</v>
      </c>
      <c r="N154" s="2" t="s">
        <v>13</v>
      </c>
      <c r="O154" s="17">
        <f>ROUND(VLOOKUP(O$139&amp;"_1",管理者用人口入力シート!CO:DL,Q154,FALSE),0)</f>
        <v>94</v>
      </c>
      <c r="P154" s="17">
        <f>ROUND(VLOOKUP(O$139&amp;"_2",管理者用人口入力シート!CO:DL,Q154,FALSE),0)</f>
        <v>97</v>
      </c>
      <c r="Q154" s="2">
        <v>17</v>
      </c>
    </row>
    <row r="155" spans="7:17" x14ac:dyDescent="0.15">
      <c r="G155" s="2" t="s">
        <v>14</v>
      </c>
      <c r="H155" s="17">
        <f>ROUND(VLOOKUP(H$139&amp;"_1",管理者用人口入力シート!BH:CE,J155,FALSE),0)</f>
        <v>82</v>
      </c>
      <c r="I155" s="17">
        <f>ROUND(VLOOKUP(H$139&amp;"_2",管理者用人口入力シート!BH:CE,J155,FALSE),0)</f>
        <v>102</v>
      </c>
      <c r="J155" s="2">
        <v>18</v>
      </c>
      <c r="N155" s="2" t="s">
        <v>14</v>
      </c>
      <c r="O155" s="17">
        <f>ROUND(VLOOKUP(O$139&amp;"_1",管理者用人口入力シート!CO:DL,Q155,FALSE),0)</f>
        <v>82</v>
      </c>
      <c r="P155" s="17">
        <f>ROUND(VLOOKUP(O$139&amp;"_2",管理者用人口入力シート!CO:DL,Q155,FALSE),0)</f>
        <v>102</v>
      </c>
      <c r="Q155" s="2">
        <v>18</v>
      </c>
    </row>
    <row r="156" spans="7:17" x14ac:dyDescent="0.15">
      <c r="G156" s="2" t="s">
        <v>15</v>
      </c>
      <c r="H156" s="17">
        <f>ROUND(VLOOKUP(H$139&amp;"_1",管理者用人口入力シート!BH:CE,J156,FALSE),0)</f>
        <v>97</v>
      </c>
      <c r="I156" s="17">
        <f>ROUND(VLOOKUP(H$139&amp;"_2",管理者用人口入力シート!BH:CE,J156,FALSE),0)</f>
        <v>117</v>
      </c>
      <c r="J156" s="2">
        <v>19</v>
      </c>
      <c r="N156" s="2" t="s">
        <v>15</v>
      </c>
      <c r="O156" s="17">
        <f>ROUND(VLOOKUP(O$139&amp;"_1",管理者用人口入力シート!CO:DL,Q156,FALSE),0)</f>
        <v>97</v>
      </c>
      <c r="P156" s="17">
        <f>ROUND(VLOOKUP(O$139&amp;"_2",管理者用人口入力シート!CO:DL,Q156,FALSE),0)</f>
        <v>117</v>
      </c>
      <c r="Q156" s="2">
        <v>19</v>
      </c>
    </row>
    <row r="157" spans="7:17" x14ac:dyDescent="0.15">
      <c r="G157" s="2" t="s">
        <v>16</v>
      </c>
      <c r="H157" s="17">
        <f>ROUND(VLOOKUP(H$139&amp;"_1",管理者用人口入力シート!BH:CE,J157,FALSE),0)</f>
        <v>91</v>
      </c>
      <c r="I157" s="17">
        <f>ROUND(VLOOKUP(H$139&amp;"_2",管理者用人口入力シート!BH:CE,J157,FALSE),0)</f>
        <v>114</v>
      </c>
      <c r="J157" s="2">
        <v>20</v>
      </c>
      <c r="N157" s="2" t="s">
        <v>16</v>
      </c>
      <c r="O157" s="17">
        <f>ROUND(VLOOKUP(O$139&amp;"_1",管理者用人口入力シート!CO:DL,Q157,FALSE),0)</f>
        <v>91</v>
      </c>
      <c r="P157" s="17">
        <f>ROUND(VLOOKUP(O$139&amp;"_2",管理者用人口入力シート!CO:DL,Q157,FALSE),0)</f>
        <v>114</v>
      </c>
      <c r="Q157" s="2">
        <v>20</v>
      </c>
    </row>
    <row r="158" spans="7:17" x14ac:dyDescent="0.15">
      <c r="G158" s="2" t="s">
        <v>17</v>
      </c>
      <c r="H158" s="17">
        <f>ROUND(VLOOKUP(H$139&amp;"_1",管理者用人口入力シート!BH:CE,J158,FALSE),0)</f>
        <v>65</v>
      </c>
      <c r="I158" s="17">
        <f>ROUND(VLOOKUP(H$139&amp;"_2",管理者用人口入力シート!BH:CE,J158,FALSE),0)</f>
        <v>106</v>
      </c>
      <c r="J158" s="2">
        <v>21</v>
      </c>
      <c r="N158" s="2" t="s">
        <v>17</v>
      </c>
      <c r="O158" s="17">
        <f>ROUND(VLOOKUP(O$139&amp;"_1",管理者用人口入力シート!CO:DL,Q158,FALSE),0)</f>
        <v>65</v>
      </c>
      <c r="P158" s="17">
        <f>ROUND(VLOOKUP(O$139&amp;"_2",管理者用人口入力シート!CO:DL,Q158,FALSE),0)</f>
        <v>106</v>
      </c>
      <c r="Q158" s="2">
        <v>21</v>
      </c>
    </row>
    <row r="159" spans="7:17" x14ac:dyDescent="0.15">
      <c r="G159" s="2" t="s">
        <v>18</v>
      </c>
      <c r="H159" s="17">
        <f>ROUND(VLOOKUP(H$139&amp;"_1",管理者用人口入力シート!BH:CE,J159,FALSE),0)</f>
        <v>27</v>
      </c>
      <c r="I159" s="17">
        <f>ROUND(VLOOKUP(H$139&amp;"_2",管理者用人口入力シート!BH:CE,J159,FALSE),0)</f>
        <v>63</v>
      </c>
      <c r="J159" s="2">
        <v>22</v>
      </c>
      <c r="N159" s="2" t="s">
        <v>18</v>
      </c>
      <c r="O159" s="17">
        <f>ROUND(VLOOKUP(O$139&amp;"_1",管理者用人口入力シート!CO:DL,Q159,FALSE),0)</f>
        <v>27</v>
      </c>
      <c r="P159" s="17">
        <f>ROUND(VLOOKUP(O$139&amp;"_2",管理者用人口入力シート!CO:DL,Q159,FALSE),0)</f>
        <v>63</v>
      </c>
      <c r="Q159" s="2">
        <v>22</v>
      </c>
    </row>
    <row r="160" spans="7:17" x14ac:dyDescent="0.15">
      <c r="G160" s="2" t="s">
        <v>19</v>
      </c>
      <c r="H160" s="17">
        <f>ROUND(VLOOKUP(H$139&amp;"_1",管理者用人口入力シート!BH:CE,J160,FALSE),0)</f>
        <v>3</v>
      </c>
      <c r="I160" s="17">
        <f>ROUND(VLOOKUP(H$139&amp;"_2",管理者用人口入力シート!BH:CE,J160,FALSE),0)</f>
        <v>19</v>
      </c>
      <c r="J160" s="2">
        <v>23</v>
      </c>
      <c r="N160" s="2" t="s">
        <v>19</v>
      </c>
      <c r="O160" s="17">
        <f>ROUND(VLOOKUP(O$139&amp;"_1",管理者用人口入力シート!CO:DL,Q160,FALSE),0)</f>
        <v>3</v>
      </c>
      <c r="P160" s="17">
        <f>ROUND(VLOOKUP(O$139&amp;"_2",管理者用人口入力シート!CO:DL,Q160,FALSE),0)</f>
        <v>19</v>
      </c>
      <c r="Q160" s="2">
        <v>23</v>
      </c>
    </row>
    <row r="161" spans="7:17" x14ac:dyDescent="0.15">
      <c r="G161" s="2" t="s">
        <v>20</v>
      </c>
      <c r="H161" s="17">
        <f>ROUND(VLOOKUP(H$139&amp;"_1",管理者用人口入力シート!BH:CE,J161,FALSE),0)</f>
        <v>0</v>
      </c>
      <c r="I161" s="17">
        <f>ROUND(VLOOKUP(H$139&amp;"_2",管理者用人口入力シート!BH:CE,J161,FALSE),0)</f>
        <v>2</v>
      </c>
      <c r="J161" s="2">
        <v>24</v>
      </c>
      <c r="N161" s="2" t="s">
        <v>20</v>
      </c>
      <c r="O161" s="17">
        <f>ROUND(VLOOKUP(O$139&amp;"_1",管理者用人口入力シート!CO:DL,Q161,FALSE),0)</f>
        <v>0</v>
      </c>
      <c r="P161" s="17">
        <f>ROUND(VLOOKUP(O$139&amp;"_2",管理者用人口入力シート!CO:DL,Q161,FALSE),0)</f>
        <v>2</v>
      </c>
      <c r="Q161" s="2">
        <v>24</v>
      </c>
    </row>
    <row r="163" spans="7:17" x14ac:dyDescent="0.15">
      <c r="G163" s="2" t="s">
        <v>395</v>
      </c>
      <c r="H163" s="316">
        <f>管理者入力シート!B12</f>
        <v>2045</v>
      </c>
      <c r="I163" s="317"/>
      <c r="J163" s="2" t="s">
        <v>114</v>
      </c>
      <c r="O163" s="316">
        <f>管理者入力シート!B12</f>
        <v>2045</v>
      </c>
      <c r="P163" s="317"/>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21</v>
      </c>
      <c r="I165" s="17">
        <f>ROUND(VLOOKUP(H$163&amp;"_2",管理者用人口入力シート!BH:CE,J165,FALSE),0)</f>
        <v>18</v>
      </c>
      <c r="J165" s="2">
        <v>4</v>
      </c>
      <c r="N165" s="2" t="s">
        <v>0</v>
      </c>
      <c r="O165" s="17">
        <f>ROUND(VLOOKUP(O$163&amp;"_1",管理者用人口入力シート!CO:DL,Q165,FALSE),0)</f>
        <v>23</v>
      </c>
      <c r="P165" s="17">
        <f>ROUND(VLOOKUP(O$163&amp;"_2",管理者用人口入力シート!CO:DL,Q165,FALSE),0)</f>
        <v>20</v>
      </c>
      <c r="Q165" s="2">
        <v>4</v>
      </c>
    </row>
    <row r="166" spans="7:17" x14ac:dyDescent="0.15">
      <c r="G166" s="2" t="s">
        <v>1</v>
      </c>
      <c r="H166" s="17">
        <f>ROUND(VLOOKUP(H$163&amp;"_1",管理者用人口入力シート!BH:CE,J166,FALSE),0)</f>
        <v>30</v>
      </c>
      <c r="I166" s="17">
        <f>ROUND(VLOOKUP(H$163&amp;"_2",管理者用人口入力シート!BH:CE,J166,FALSE),0)</f>
        <v>22</v>
      </c>
      <c r="J166" s="2">
        <v>5</v>
      </c>
      <c r="N166" s="2" t="s">
        <v>1</v>
      </c>
      <c r="O166" s="17">
        <f>ROUND(VLOOKUP(O$163&amp;"_1",管理者用人口入力シート!CO:DL,Q166,FALSE),0)</f>
        <v>33</v>
      </c>
      <c r="P166" s="17">
        <f>ROUND(VLOOKUP(O$163&amp;"_2",管理者用人口入力シート!CO:DL,Q166,FALSE),0)</f>
        <v>24</v>
      </c>
      <c r="Q166" s="2">
        <v>5</v>
      </c>
    </row>
    <row r="167" spans="7:17" x14ac:dyDescent="0.15">
      <c r="G167" s="2" t="s">
        <v>2</v>
      </c>
      <c r="H167" s="17">
        <f>ROUND(VLOOKUP(H$163&amp;"_1",管理者用人口入力シート!BH:CE,J167,FALSE),0)</f>
        <v>36</v>
      </c>
      <c r="I167" s="17">
        <f>ROUND(VLOOKUP(H$163&amp;"_2",管理者用人口入力シート!BH:CE,J167,FALSE),0)</f>
        <v>26</v>
      </c>
      <c r="J167" s="2">
        <v>6</v>
      </c>
      <c r="N167" s="2" t="s">
        <v>2</v>
      </c>
      <c r="O167" s="17">
        <f>ROUND(VLOOKUP(O$163&amp;"_1",管理者用人口入力シート!CO:DL,Q167,FALSE),0)</f>
        <v>40</v>
      </c>
      <c r="P167" s="17">
        <f>ROUND(VLOOKUP(O$163&amp;"_2",管理者用人口入力シート!CO:DL,Q167,FALSE),0)</f>
        <v>29</v>
      </c>
      <c r="Q167" s="2">
        <v>6</v>
      </c>
    </row>
    <row r="168" spans="7:17" x14ac:dyDescent="0.15">
      <c r="G168" s="2" t="s">
        <v>3</v>
      </c>
      <c r="H168" s="17">
        <f>ROUND(VLOOKUP(H$163&amp;"_1",管理者用人口入力シート!BH:CE,J168,FALSE),0)</f>
        <v>34</v>
      </c>
      <c r="I168" s="17">
        <f>ROUND(VLOOKUP(H$163&amp;"_2",管理者用人口入力シート!BH:CE,J168,FALSE),0)</f>
        <v>26</v>
      </c>
      <c r="J168" s="2">
        <v>7</v>
      </c>
      <c r="N168" s="2" t="s">
        <v>3</v>
      </c>
      <c r="O168" s="17">
        <f>ROUND(VLOOKUP(O$163&amp;"_1",管理者用人口入力シート!CO:DL,Q168,FALSE),0)</f>
        <v>36</v>
      </c>
      <c r="P168" s="17">
        <f>ROUND(VLOOKUP(O$163&amp;"_2",管理者用人口入力シート!CO:DL,Q168,FALSE),0)</f>
        <v>28</v>
      </c>
      <c r="Q168" s="2">
        <v>7</v>
      </c>
    </row>
    <row r="169" spans="7:17" x14ac:dyDescent="0.15">
      <c r="G169" s="2" t="s">
        <v>4</v>
      </c>
      <c r="H169" s="17">
        <f>ROUND(VLOOKUP(H$163&amp;"_1",管理者用人口入力シート!BH:CE,J169,FALSE),0)</f>
        <v>21</v>
      </c>
      <c r="I169" s="17">
        <f>ROUND(VLOOKUP(H$163&amp;"_2",管理者用人口入力シート!BH:CE,J169,FALSE),0)</f>
        <v>17</v>
      </c>
      <c r="J169" s="2">
        <v>8</v>
      </c>
      <c r="N169" s="2" t="s">
        <v>4</v>
      </c>
      <c r="O169" s="17">
        <f>ROUND(VLOOKUP(O$163&amp;"_1",管理者用人口入力シート!CO:DL,Q169,FALSE),0)</f>
        <v>22</v>
      </c>
      <c r="P169" s="17">
        <f>ROUND(VLOOKUP(O$163&amp;"_2",管理者用人口入力シート!CO:DL,Q169,FALSE),0)</f>
        <v>18</v>
      </c>
      <c r="Q169" s="2">
        <v>8</v>
      </c>
    </row>
    <row r="170" spans="7:17" x14ac:dyDescent="0.15">
      <c r="G170" s="2" t="s">
        <v>5</v>
      </c>
      <c r="H170" s="17">
        <f>ROUND(VLOOKUP(H$163&amp;"_1",管理者用人口入力シート!BH:CE,J170,FALSE),0)</f>
        <v>23</v>
      </c>
      <c r="I170" s="17">
        <f>ROUND(VLOOKUP(H$163&amp;"_2",管理者用人口入力シート!BH:CE,J170,FALSE),0)</f>
        <v>19</v>
      </c>
      <c r="J170" s="2">
        <v>9</v>
      </c>
      <c r="N170" s="2" t="s">
        <v>5</v>
      </c>
      <c r="O170" s="17">
        <f>ROUND(VLOOKUP(O$163&amp;"_1",管理者用人口入力シート!CO:DL,Q170,FALSE),0)</f>
        <v>25</v>
      </c>
      <c r="P170" s="17">
        <f>ROUND(VLOOKUP(O$163&amp;"_2",管理者用人口入力シート!CO:DL,Q170,FALSE),0)</f>
        <v>22</v>
      </c>
      <c r="Q170" s="2">
        <v>9</v>
      </c>
    </row>
    <row r="171" spans="7:17" x14ac:dyDescent="0.15">
      <c r="G171" s="2" t="s">
        <v>6</v>
      </c>
      <c r="H171" s="17">
        <f>ROUND(VLOOKUP(H$163&amp;"_1",管理者用人口入力シート!BH:CE,J171,FALSE),0)</f>
        <v>19</v>
      </c>
      <c r="I171" s="17">
        <f>ROUND(VLOOKUP(H$163&amp;"_2",管理者用人口入力シート!BH:CE,J171,FALSE),0)</f>
        <v>21</v>
      </c>
      <c r="J171" s="2">
        <v>10</v>
      </c>
      <c r="N171" s="2" t="s">
        <v>6</v>
      </c>
      <c r="O171" s="17">
        <f>ROUND(VLOOKUP(O$163&amp;"_1",管理者用人口入力シート!CO:DL,Q171,FALSE),0)</f>
        <v>21</v>
      </c>
      <c r="P171" s="17">
        <f>ROUND(VLOOKUP(O$163&amp;"_2",管理者用人口入力シート!CO:DL,Q171,FALSE),0)</f>
        <v>23</v>
      </c>
      <c r="Q171" s="2">
        <v>10</v>
      </c>
    </row>
    <row r="172" spans="7:17" x14ac:dyDescent="0.15">
      <c r="G172" s="2" t="s">
        <v>7</v>
      </c>
      <c r="H172" s="17">
        <f>ROUND(VLOOKUP(H$163&amp;"_1",管理者用人口入力シート!BH:CE,J172,FALSE),0)</f>
        <v>23</v>
      </c>
      <c r="I172" s="17">
        <f>ROUND(VLOOKUP(H$163&amp;"_2",管理者用人口入力シート!BH:CE,J172,FALSE),0)</f>
        <v>24</v>
      </c>
      <c r="J172" s="2">
        <v>11</v>
      </c>
      <c r="N172" s="2" t="s">
        <v>7</v>
      </c>
      <c r="O172" s="17">
        <f>ROUND(VLOOKUP(O$163&amp;"_1",管理者用人口入力シート!CO:DL,Q172,FALSE),0)</f>
        <v>25</v>
      </c>
      <c r="P172" s="17">
        <f>ROUND(VLOOKUP(O$163&amp;"_2",管理者用人口入力シート!CO:DL,Q172,FALSE),0)</f>
        <v>25</v>
      </c>
      <c r="Q172" s="2">
        <v>11</v>
      </c>
    </row>
    <row r="173" spans="7:17" x14ac:dyDescent="0.15">
      <c r="G173" s="2" t="s">
        <v>8</v>
      </c>
      <c r="H173" s="17">
        <f>ROUND(VLOOKUP(H$163&amp;"_1",管理者用人口入力シート!BH:CE,J173,FALSE),0)</f>
        <v>30</v>
      </c>
      <c r="I173" s="17">
        <f>ROUND(VLOOKUP(H$163&amp;"_2",管理者用人口入力シート!BH:CE,J173,FALSE),0)</f>
        <v>31</v>
      </c>
      <c r="J173" s="2">
        <v>12</v>
      </c>
      <c r="N173" s="2" t="s">
        <v>8</v>
      </c>
      <c r="O173" s="17">
        <f>ROUND(VLOOKUP(O$163&amp;"_1",管理者用人口入力シート!CO:DL,Q173,FALSE),0)</f>
        <v>31</v>
      </c>
      <c r="P173" s="17">
        <f>ROUND(VLOOKUP(O$163&amp;"_2",管理者用人口入力シート!CO:DL,Q173,FALSE),0)</f>
        <v>34</v>
      </c>
      <c r="Q173" s="2">
        <v>12</v>
      </c>
    </row>
    <row r="174" spans="7:17" x14ac:dyDescent="0.15">
      <c r="G174" s="2" t="s">
        <v>9</v>
      </c>
      <c r="H174" s="17">
        <f>ROUND(VLOOKUP(H$163&amp;"_1",管理者用人口入力シート!BH:CE,J174,FALSE),0)</f>
        <v>31</v>
      </c>
      <c r="I174" s="17">
        <f>ROUND(VLOOKUP(H$163&amp;"_2",管理者用人口入力シート!BH:CE,J174,FALSE),0)</f>
        <v>33</v>
      </c>
      <c r="J174" s="2">
        <v>13</v>
      </c>
      <c r="N174" s="2" t="s">
        <v>9</v>
      </c>
      <c r="O174" s="17">
        <f>ROUND(VLOOKUP(O$163&amp;"_1",管理者用人口入力シート!CO:DL,Q174,FALSE),0)</f>
        <v>33</v>
      </c>
      <c r="P174" s="17">
        <f>ROUND(VLOOKUP(O$163&amp;"_2",管理者用人口入力シート!CO:DL,Q174,FALSE),0)</f>
        <v>35</v>
      </c>
      <c r="Q174" s="2">
        <v>13</v>
      </c>
    </row>
    <row r="175" spans="7:17" x14ac:dyDescent="0.15">
      <c r="G175" s="2" t="s">
        <v>10</v>
      </c>
      <c r="H175" s="17">
        <f>ROUND(VLOOKUP(H$163&amp;"_1",管理者用人口入力シート!BH:CE,J175,FALSE),0)</f>
        <v>41</v>
      </c>
      <c r="I175" s="17">
        <f>ROUND(VLOOKUP(H$163&amp;"_2",管理者用人口入力シート!BH:CE,J175,FALSE),0)</f>
        <v>37</v>
      </c>
      <c r="J175" s="2">
        <v>14</v>
      </c>
      <c r="N175" s="2" t="s">
        <v>10</v>
      </c>
      <c r="O175" s="17">
        <f>ROUND(VLOOKUP(O$163&amp;"_1",管理者用人口入力シート!CO:DL,Q175,FALSE),0)</f>
        <v>41</v>
      </c>
      <c r="P175" s="17">
        <f>ROUND(VLOOKUP(O$163&amp;"_2",管理者用人口入力シート!CO:DL,Q175,FALSE),0)</f>
        <v>38</v>
      </c>
      <c r="Q175" s="2">
        <v>14</v>
      </c>
    </row>
    <row r="176" spans="7:17" x14ac:dyDescent="0.15">
      <c r="G176" s="2" t="s">
        <v>11</v>
      </c>
      <c r="H176" s="17">
        <f>ROUND(VLOOKUP(H$163&amp;"_1",管理者用人口入力シート!BH:CE,J176,FALSE),0)</f>
        <v>47</v>
      </c>
      <c r="I176" s="17">
        <f>ROUND(VLOOKUP(H$163&amp;"_2",管理者用人口入力シート!BH:CE,J176,FALSE),0)</f>
        <v>50</v>
      </c>
      <c r="J176" s="2">
        <v>15</v>
      </c>
      <c r="N176" s="2" t="s">
        <v>11</v>
      </c>
      <c r="O176" s="17">
        <f>ROUND(VLOOKUP(O$163&amp;"_1",管理者用人口入力シート!CO:DL,Q176,FALSE),0)</f>
        <v>47</v>
      </c>
      <c r="P176" s="17">
        <f>ROUND(VLOOKUP(O$163&amp;"_2",管理者用人口入力シート!CO:DL,Q176,FALSE),0)</f>
        <v>51</v>
      </c>
      <c r="Q176" s="2">
        <v>15</v>
      </c>
    </row>
    <row r="177" spans="7:17" x14ac:dyDescent="0.15">
      <c r="G177" s="2" t="s">
        <v>12</v>
      </c>
      <c r="H177" s="17">
        <f>ROUND(VLOOKUP(H$163&amp;"_1",管理者用人口入力シート!BH:CE,J177,FALSE),0)</f>
        <v>94</v>
      </c>
      <c r="I177" s="17">
        <f>ROUND(VLOOKUP(H$163&amp;"_2",管理者用人口入力シート!BH:CE,J177,FALSE),0)</f>
        <v>71</v>
      </c>
      <c r="J177" s="2">
        <v>16</v>
      </c>
      <c r="N177" s="2" t="s">
        <v>12</v>
      </c>
      <c r="O177" s="17">
        <f>ROUND(VLOOKUP(O$163&amp;"_1",管理者用人口入力シート!CO:DL,Q177,FALSE),0)</f>
        <v>94</v>
      </c>
      <c r="P177" s="17">
        <f>ROUND(VLOOKUP(O$163&amp;"_2",管理者用人口入力シート!CO:DL,Q177,FALSE),0)</f>
        <v>72</v>
      </c>
      <c r="Q177" s="2">
        <v>16</v>
      </c>
    </row>
    <row r="178" spans="7:17" x14ac:dyDescent="0.15">
      <c r="G178" s="2" t="s">
        <v>13</v>
      </c>
      <c r="H178" s="17">
        <f>ROUND(VLOOKUP(H$163&amp;"_1",管理者用人口入力シート!BH:CE,J178,FALSE),0)</f>
        <v>80</v>
      </c>
      <c r="I178" s="17">
        <f>ROUND(VLOOKUP(H$163&amp;"_2",管理者用人口入力シート!BH:CE,J178,FALSE),0)</f>
        <v>83</v>
      </c>
      <c r="J178" s="2">
        <v>17</v>
      </c>
      <c r="N178" s="2" t="s">
        <v>13</v>
      </c>
      <c r="O178" s="17">
        <f>ROUND(VLOOKUP(O$163&amp;"_1",管理者用人口入力シート!CO:DL,Q178,FALSE),0)</f>
        <v>80</v>
      </c>
      <c r="P178" s="17">
        <f>ROUND(VLOOKUP(O$163&amp;"_2",管理者用人口入力シート!CO:DL,Q178,FALSE),0)</f>
        <v>83</v>
      </c>
      <c r="Q178" s="2">
        <v>17</v>
      </c>
    </row>
    <row r="179" spans="7:17" x14ac:dyDescent="0.15">
      <c r="G179" s="2" t="s">
        <v>14</v>
      </c>
      <c r="H179" s="17">
        <f>ROUND(VLOOKUP(H$163&amp;"_1",管理者用人口入力シート!BH:CE,J179,FALSE),0)</f>
        <v>88</v>
      </c>
      <c r="I179" s="17">
        <f>ROUND(VLOOKUP(H$163&amp;"_2",管理者用人口入力シート!BH:CE,J179,FALSE),0)</f>
        <v>92</v>
      </c>
      <c r="J179" s="2">
        <v>18</v>
      </c>
      <c r="N179" s="2" t="s">
        <v>14</v>
      </c>
      <c r="O179" s="17">
        <f>ROUND(VLOOKUP(O$163&amp;"_1",管理者用人口入力シート!CO:DL,Q179,FALSE),0)</f>
        <v>88</v>
      </c>
      <c r="P179" s="17">
        <f>ROUND(VLOOKUP(O$163&amp;"_2",管理者用人口入力シート!CO:DL,Q179,FALSE),0)</f>
        <v>92</v>
      </c>
      <c r="Q179" s="2">
        <v>18</v>
      </c>
    </row>
    <row r="180" spans="7:17" x14ac:dyDescent="0.15">
      <c r="G180" s="2" t="s">
        <v>15</v>
      </c>
      <c r="H180" s="17">
        <f>ROUND(VLOOKUP(H$163&amp;"_1",管理者用人口入力シート!BH:CE,J180,FALSE),0)</f>
        <v>69</v>
      </c>
      <c r="I180" s="17">
        <f>ROUND(VLOOKUP(H$163&amp;"_2",管理者用人口入力シート!BH:CE,J180,FALSE),0)</f>
        <v>94</v>
      </c>
      <c r="J180" s="2">
        <v>19</v>
      </c>
      <c r="N180" s="2" t="s">
        <v>15</v>
      </c>
      <c r="O180" s="17">
        <f>ROUND(VLOOKUP(O$163&amp;"_1",管理者用人口入力シート!CO:DL,Q180,FALSE),0)</f>
        <v>69</v>
      </c>
      <c r="P180" s="17">
        <f>ROUND(VLOOKUP(O$163&amp;"_2",管理者用人口入力シート!CO:DL,Q180,FALSE),0)</f>
        <v>94</v>
      </c>
      <c r="Q180" s="2">
        <v>19</v>
      </c>
    </row>
    <row r="181" spans="7:17" x14ac:dyDescent="0.15">
      <c r="G181" s="2" t="s">
        <v>16</v>
      </c>
      <c r="H181" s="17">
        <f>ROUND(VLOOKUP(H$163&amp;"_1",管理者用人口入力シート!BH:CE,J181,FALSE),0)</f>
        <v>74</v>
      </c>
      <c r="I181" s="17">
        <f>ROUND(VLOOKUP(H$163&amp;"_2",管理者用人口入力シート!BH:CE,J181,FALSE),0)</f>
        <v>92</v>
      </c>
      <c r="J181" s="2">
        <v>20</v>
      </c>
      <c r="N181" s="2" t="s">
        <v>16</v>
      </c>
      <c r="O181" s="17">
        <f>ROUND(VLOOKUP(O$163&amp;"_1",管理者用人口入力シート!CO:DL,Q181,FALSE),0)</f>
        <v>74</v>
      </c>
      <c r="P181" s="17">
        <f>ROUND(VLOOKUP(O$163&amp;"_2",管理者用人口入力シート!CO:DL,Q181,FALSE),0)</f>
        <v>92</v>
      </c>
      <c r="Q181" s="2">
        <v>20</v>
      </c>
    </row>
    <row r="182" spans="7:17" x14ac:dyDescent="0.15">
      <c r="G182" s="2" t="s">
        <v>17</v>
      </c>
      <c r="H182" s="17">
        <f>ROUND(VLOOKUP(H$163&amp;"_1",管理者用人口入力シート!BH:CE,J182,FALSE),0)</f>
        <v>49</v>
      </c>
      <c r="I182" s="17">
        <f>ROUND(VLOOKUP(H$163&amp;"_2",管理者用人口入力シート!BH:CE,J182,FALSE),0)</f>
        <v>88</v>
      </c>
      <c r="J182" s="2">
        <v>21</v>
      </c>
      <c r="N182" s="2" t="s">
        <v>17</v>
      </c>
      <c r="O182" s="17">
        <f>ROUND(VLOOKUP(O$163&amp;"_1",管理者用人口入力シート!CO:DL,Q182,FALSE),0)</f>
        <v>49</v>
      </c>
      <c r="P182" s="17">
        <f>ROUND(VLOOKUP(O$163&amp;"_2",管理者用人口入力シート!CO:DL,Q182,FALSE),0)</f>
        <v>88</v>
      </c>
      <c r="Q182" s="2">
        <v>21</v>
      </c>
    </row>
    <row r="183" spans="7:17" x14ac:dyDescent="0.15">
      <c r="G183" s="2" t="s">
        <v>18</v>
      </c>
      <c r="H183" s="17">
        <f>ROUND(VLOOKUP(H$163&amp;"_1",管理者用人口入力シート!BH:CE,J183,FALSE),0)</f>
        <v>26</v>
      </c>
      <c r="I183" s="17">
        <f>ROUND(VLOOKUP(H$163&amp;"_2",管理者用人口入力シート!BH:CE,J183,FALSE),0)</f>
        <v>57</v>
      </c>
      <c r="J183" s="2">
        <v>22</v>
      </c>
      <c r="N183" s="2" t="s">
        <v>18</v>
      </c>
      <c r="O183" s="17">
        <f>ROUND(VLOOKUP(O$163&amp;"_1",管理者用人口入力シート!CO:DL,Q183,FALSE),0)</f>
        <v>26</v>
      </c>
      <c r="P183" s="17">
        <f>ROUND(VLOOKUP(O$163&amp;"_2",管理者用人口入力シート!CO:DL,Q183,FALSE),0)</f>
        <v>57</v>
      </c>
      <c r="Q183" s="2">
        <v>22</v>
      </c>
    </row>
    <row r="184" spans="7:17" x14ac:dyDescent="0.15">
      <c r="G184" s="2" t="s">
        <v>19</v>
      </c>
      <c r="H184" s="17">
        <f>ROUND(VLOOKUP(H$163&amp;"_1",管理者用人口入力シート!BH:CE,J184,FALSE),0)</f>
        <v>4</v>
      </c>
      <c r="I184" s="17">
        <f>ROUND(VLOOKUP(H$163&amp;"_2",管理者用人口入力シート!BH:CE,J184,FALSE),0)</f>
        <v>22</v>
      </c>
      <c r="J184" s="2">
        <v>23</v>
      </c>
      <c r="N184" s="2" t="s">
        <v>19</v>
      </c>
      <c r="O184" s="17">
        <f>ROUND(VLOOKUP(O$163&amp;"_1",管理者用人口入力シート!CO:DL,Q184,FALSE),0)</f>
        <v>4</v>
      </c>
      <c r="P184" s="17">
        <f>ROUND(VLOOKUP(O$163&amp;"_2",管理者用人口入力シート!CO:DL,Q184,FALSE),0)</f>
        <v>22</v>
      </c>
      <c r="Q184" s="2">
        <v>23</v>
      </c>
    </row>
    <row r="185" spans="7:17" x14ac:dyDescent="0.15">
      <c r="G185" s="2" t="s">
        <v>20</v>
      </c>
      <c r="H185" s="17">
        <f>ROUND(VLOOKUP(H$163&amp;"_1",管理者用人口入力シート!BH:CE,J185,FALSE),0)</f>
        <v>0</v>
      </c>
      <c r="I185" s="17">
        <f>ROUND(VLOOKUP(H$163&amp;"_2",管理者用人口入力シート!BH:CE,J185,FALSE),0)</f>
        <v>2</v>
      </c>
      <c r="J185" s="2">
        <v>24</v>
      </c>
      <c r="N185" s="2" t="s">
        <v>20</v>
      </c>
      <c r="O185" s="17">
        <f>ROUND(VLOOKUP(O$163&amp;"_1",管理者用人口入力シート!CO:DL,Q185,FALSE),0)</f>
        <v>0</v>
      </c>
      <c r="P185" s="17">
        <f>ROUND(VLOOKUP(O$163&amp;"_2",管理者用人口入力シート!CO:DL,Q185,FALSE),0)</f>
        <v>2</v>
      </c>
      <c r="Q185" s="2">
        <v>24</v>
      </c>
    </row>
    <row r="187" spans="7:17" x14ac:dyDescent="0.15">
      <c r="G187" s="2" t="s">
        <v>396</v>
      </c>
      <c r="H187" s="316">
        <f>管理者入力シート!B13</f>
        <v>2050</v>
      </c>
      <c r="I187" s="317"/>
      <c r="J187" s="2" t="s">
        <v>114</v>
      </c>
      <c r="O187" s="316">
        <f>管理者入力シート!B13</f>
        <v>2050</v>
      </c>
      <c r="P187" s="317"/>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16</v>
      </c>
      <c r="I189" s="17">
        <f>ROUND(VLOOKUP(H$187&amp;"_2",管理者用人口入力シート!BH:CE,J189,FALSE),0)</f>
        <v>14</v>
      </c>
      <c r="J189" s="2">
        <v>4</v>
      </c>
      <c r="N189" s="2" t="s">
        <v>0</v>
      </c>
      <c r="O189" s="17">
        <f>ROUND(VLOOKUP(O$187&amp;"_1",管理者用人口入力シート!CO:DL,Q189,FALSE),0)</f>
        <v>19</v>
      </c>
      <c r="P189" s="17">
        <f>ROUND(VLOOKUP(O$187&amp;"_2",管理者用人口入力シート!CO:DL,Q189,FALSE),0)</f>
        <v>17</v>
      </c>
      <c r="Q189" s="2">
        <v>4</v>
      </c>
    </row>
    <row r="190" spans="7:17" x14ac:dyDescent="0.15">
      <c r="G190" s="2" t="s">
        <v>1</v>
      </c>
      <c r="H190" s="17">
        <f>ROUND(VLOOKUP(H$187&amp;"_1",管理者用人口入力シート!BH:CE,J190,FALSE),0)</f>
        <v>24</v>
      </c>
      <c r="I190" s="17">
        <f>ROUND(VLOOKUP(H$187&amp;"_2",管理者用人口入力シート!BH:CE,J190,FALSE),0)</f>
        <v>17</v>
      </c>
      <c r="J190" s="2">
        <v>5</v>
      </c>
      <c r="N190" s="2" t="s">
        <v>1</v>
      </c>
      <c r="O190" s="17">
        <f>ROUND(VLOOKUP(O$187&amp;"_1",管理者用人口入力シート!CO:DL,Q190,FALSE),0)</f>
        <v>27</v>
      </c>
      <c r="P190" s="17">
        <f>ROUND(VLOOKUP(O$187&amp;"_2",管理者用人口入力シート!CO:DL,Q190,FALSE),0)</f>
        <v>19</v>
      </c>
      <c r="Q190" s="2">
        <v>5</v>
      </c>
    </row>
    <row r="191" spans="7:17" x14ac:dyDescent="0.15">
      <c r="G191" s="2" t="s">
        <v>2</v>
      </c>
      <c r="H191" s="17">
        <f>ROUND(VLOOKUP(H$187&amp;"_1",管理者用人口入力シート!BH:CE,J191,FALSE),0)</f>
        <v>30</v>
      </c>
      <c r="I191" s="17">
        <f>ROUND(VLOOKUP(H$187&amp;"_2",管理者用人口入力シート!BH:CE,J191,FALSE),0)</f>
        <v>21</v>
      </c>
      <c r="J191" s="2">
        <v>6</v>
      </c>
      <c r="N191" s="2" t="s">
        <v>2</v>
      </c>
      <c r="O191" s="17">
        <f>ROUND(VLOOKUP(O$187&amp;"_1",管理者用人口入力シート!CO:DL,Q191,FALSE),0)</f>
        <v>34</v>
      </c>
      <c r="P191" s="17">
        <f>ROUND(VLOOKUP(O$187&amp;"_2",管理者用人口入力シート!CO:DL,Q191,FALSE),0)</f>
        <v>24</v>
      </c>
      <c r="Q191" s="2">
        <v>6</v>
      </c>
    </row>
    <row r="192" spans="7:17" x14ac:dyDescent="0.15">
      <c r="G192" s="2" t="s">
        <v>3</v>
      </c>
      <c r="H192" s="17">
        <f>ROUND(VLOOKUP(H$187&amp;"_1",管理者用人口入力シート!BH:CE,J192,FALSE),0)</f>
        <v>28</v>
      </c>
      <c r="I192" s="17">
        <f>ROUND(VLOOKUP(H$187&amp;"_2",管理者用人口入力シート!BH:CE,J192,FALSE),0)</f>
        <v>22</v>
      </c>
      <c r="J192" s="2">
        <v>7</v>
      </c>
      <c r="N192" s="2" t="s">
        <v>3</v>
      </c>
      <c r="O192" s="17">
        <f>ROUND(VLOOKUP(O$187&amp;"_1",管理者用人口入力シート!CO:DL,Q192,FALSE),0)</f>
        <v>31</v>
      </c>
      <c r="P192" s="17">
        <f>ROUND(VLOOKUP(O$187&amp;"_2",管理者用人口入力シート!CO:DL,Q192,FALSE),0)</f>
        <v>25</v>
      </c>
      <c r="Q192" s="2">
        <v>7</v>
      </c>
    </row>
    <row r="193" spans="7:17" x14ac:dyDescent="0.15">
      <c r="G193" s="2" t="s">
        <v>4</v>
      </c>
      <c r="H193" s="17">
        <f>ROUND(VLOOKUP(H$187&amp;"_1",管理者用人口入力シート!BH:CE,J193,FALSE),0)</f>
        <v>17</v>
      </c>
      <c r="I193" s="17">
        <f>ROUND(VLOOKUP(H$187&amp;"_2",管理者用人口入力シート!BH:CE,J193,FALSE),0)</f>
        <v>14</v>
      </c>
      <c r="J193" s="2">
        <v>8</v>
      </c>
      <c r="N193" s="2" t="s">
        <v>4</v>
      </c>
      <c r="O193" s="17">
        <f>ROUND(VLOOKUP(O$187&amp;"_1",管理者用人口入力シート!CO:DL,Q193,FALSE),0)</f>
        <v>18</v>
      </c>
      <c r="P193" s="17">
        <f>ROUND(VLOOKUP(O$187&amp;"_2",管理者用人口入力シート!CO:DL,Q193,FALSE),0)</f>
        <v>15</v>
      </c>
      <c r="Q193" s="2">
        <v>8</v>
      </c>
    </row>
    <row r="194" spans="7:17" x14ac:dyDescent="0.15">
      <c r="G194" s="2" t="s">
        <v>5</v>
      </c>
      <c r="H194" s="17">
        <f>ROUND(VLOOKUP(H$187&amp;"_1",管理者用人口入力シート!BH:CE,J194,FALSE),0)</f>
        <v>18</v>
      </c>
      <c r="I194" s="17">
        <f>ROUND(VLOOKUP(H$187&amp;"_2",管理者用人口入力シート!BH:CE,J194,FALSE),0)</f>
        <v>15</v>
      </c>
      <c r="J194" s="2">
        <v>9</v>
      </c>
      <c r="N194" s="2" t="s">
        <v>5</v>
      </c>
      <c r="O194" s="17">
        <f>ROUND(VLOOKUP(O$187&amp;"_1",管理者用人口入力シート!CO:DL,Q194,FALSE),0)</f>
        <v>20</v>
      </c>
      <c r="P194" s="17">
        <f>ROUND(VLOOKUP(O$187&amp;"_2",管理者用人口入力シート!CO:DL,Q194,FALSE),0)</f>
        <v>18</v>
      </c>
      <c r="Q194" s="2">
        <v>9</v>
      </c>
    </row>
    <row r="195" spans="7:17" x14ac:dyDescent="0.15">
      <c r="G195" s="2" t="s">
        <v>6</v>
      </c>
      <c r="H195" s="17">
        <f>ROUND(VLOOKUP(H$187&amp;"_1",管理者用人口入力シート!BH:CE,J195,FALSE),0)</f>
        <v>20</v>
      </c>
      <c r="I195" s="17">
        <f>ROUND(VLOOKUP(H$187&amp;"_2",管理者用人口入力シート!BH:CE,J195,FALSE),0)</f>
        <v>16</v>
      </c>
      <c r="J195" s="2">
        <v>10</v>
      </c>
      <c r="N195" s="2" t="s">
        <v>6</v>
      </c>
      <c r="O195" s="17">
        <f>ROUND(VLOOKUP(O$187&amp;"_1",管理者用人口入力シート!CO:DL,Q195,FALSE),0)</f>
        <v>22</v>
      </c>
      <c r="P195" s="17">
        <f>ROUND(VLOOKUP(O$187&amp;"_2",管理者用人口入力シート!CO:DL,Q195,FALSE),0)</f>
        <v>18</v>
      </c>
      <c r="Q195" s="2">
        <v>10</v>
      </c>
    </row>
    <row r="196" spans="7:17" x14ac:dyDescent="0.15">
      <c r="G196" s="2" t="s">
        <v>7</v>
      </c>
      <c r="H196" s="17">
        <f>ROUND(VLOOKUP(H$187&amp;"_1",管理者用人口入力シート!BH:CE,J196,FALSE),0)</f>
        <v>17</v>
      </c>
      <c r="I196" s="17">
        <f>ROUND(VLOOKUP(H$187&amp;"_2",管理者用人口入力シート!BH:CE,J196,FALSE),0)</f>
        <v>20</v>
      </c>
      <c r="J196" s="2">
        <v>11</v>
      </c>
      <c r="N196" s="2" t="s">
        <v>7</v>
      </c>
      <c r="O196" s="17">
        <f>ROUND(VLOOKUP(O$187&amp;"_1",管理者用人口入力シート!CO:DL,Q196,FALSE),0)</f>
        <v>19</v>
      </c>
      <c r="P196" s="17">
        <f>ROUND(VLOOKUP(O$187&amp;"_2",管理者用人口入力シート!CO:DL,Q196,FALSE),0)</f>
        <v>22</v>
      </c>
      <c r="Q196" s="2">
        <v>11</v>
      </c>
    </row>
    <row r="197" spans="7:17" x14ac:dyDescent="0.15">
      <c r="G197" s="2" t="s">
        <v>8</v>
      </c>
      <c r="H197" s="17">
        <f>ROUND(VLOOKUP(H$187&amp;"_1",管理者用人口入力シート!BH:CE,J197,FALSE),0)</f>
        <v>25</v>
      </c>
      <c r="I197" s="17">
        <f>ROUND(VLOOKUP(H$187&amp;"_2",管理者用人口入力シート!BH:CE,J197,FALSE),0)</f>
        <v>24</v>
      </c>
      <c r="J197" s="2">
        <v>12</v>
      </c>
      <c r="N197" s="2" t="s">
        <v>8</v>
      </c>
      <c r="O197" s="17">
        <f>ROUND(VLOOKUP(O$187&amp;"_1",管理者用人口入力シート!CO:DL,Q197,FALSE),0)</f>
        <v>27</v>
      </c>
      <c r="P197" s="17">
        <f>ROUND(VLOOKUP(O$187&amp;"_2",管理者用人口入力シート!CO:DL,Q197,FALSE),0)</f>
        <v>27</v>
      </c>
      <c r="Q197" s="2">
        <v>12</v>
      </c>
    </row>
    <row r="198" spans="7:17" x14ac:dyDescent="0.15">
      <c r="G198" s="2" t="s">
        <v>9</v>
      </c>
      <c r="H198" s="17">
        <f>ROUND(VLOOKUP(H$187&amp;"_1",管理者用人口入力シート!BH:CE,J198,FALSE),0)</f>
        <v>29</v>
      </c>
      <c r="I198" s="17">
        <f>ROUND(VLOOKUP(H$187&amp;"_2",管理者用人口入力シート!BH:CE,J198,FALSE),0)</f>
        <v>30</v>
      </c>
      <c r="J198" s="2">
        <v>13</v>
      </c>
      <c r="N198" s="2" t="s">
        <v>9</v>
      </c>
      <c r="O198" s="17">
        <f>ROUND(VLOOKUP(O$187&amp;"_1",管理者用人口入力シート!CO:DL,Q198,FALSE),0)</f>
        <v>31</v>
      </c>
      <c r="P198" s="17">
        <f>ROUND(VLOOKUP(O$187&amp;"_2",管理者用人口入力シート!CO:DL,Q198,FALSE),0)</f>
        <v>33</v>
      </c>
      <c r="Q198" s="2">
        <v>13</v>
      </c>
    </row>
    <row r="199" spans="7:17" x14ac:dyDescent="0.15">
      <c r="G199" s="2" t="s">
        <v>10</v>
      </c>
      <c r="H199" s="17">
        <f>ROUND(VLOOKUP(H$187&amp;"_1",管理者用人口入力シート!BH:CE,J199,FALSE),0)</f>
        <v>29</v>
      </c>
      <c r="I199" s="17">
        <f>ROUND(VLOOKUP(H$187&amp;"_2",管理者用人口入力シート!BH:CE,J199,FALSE),0)</f>
        <v>31</v>
      </c>
      <c r="J199" s="2">
        <v>14</v>
      </c>
      <c r="N199" s="2" t="s">
        <v>10</v>
      </c>
      <c r="O199" s="17">
        <f>ROUND(VLOOKUP(O$187&amp;"_1",管理者用人口入力シート!CO:DL,Q199,FALSE),0)</f>
        <v>31</v>
      </c>
      <c r="P199" s="17">
        <f>ROUND(VLOOKUP(O$187&amp;"_2",管理者用人口入力シート!CO:DL,Q199,FALSE),0)</f>
        <v>34</v>
      </c>
      <c r="Q199" s="2">
        <v>14</v>
      </c>
    </row>
    <row r="200" spans="7:17" x14ac:dyDescent="0.15">
      <c r="G200" s="2" t="s">
        <v>11</v>
      </c>
      <c r="H200" s="17">
        <f>ROUND(VLOOKUP(H$187&amp;"_1",管理者用人口入力シート!BH:CE,J200,FALSE),0)</f>
        <v>40</v>
      </c>
      <c r="I200" s="17">
        <f>ROUND(VLOOKUP(H$187&amp;"_2",管理者用人口入力シート!BH:CE,J200,FALSE),0)</f>
        <v>35</v>
      </c>
      <c r="J200" s="2">
        <v>15</v>
      </c>
      <c r="N200" s="2" t="s">
        <v>11</v>
      </c>
      <c r="O200" s="17">
        <f>ROUND(VLOOKUP(O$187&amp;"_1",管理者用人口入力シート!CO:DL,Q200,FALSE),0)</f>
        <v>40</v>
      </c>
      <c r="P200" s="17">
        <f>ROUND(VLOOKUP(O$187&amp;"_2",管理者用人口入力シート!CO:DL,Q200,FALSE),0)</f>
        <v>36</v>
      </c>
      <c r="Q200" s="2">
        <v>15</v>
      </c>
    </row>
    <row r="201" spans="7:17" x14ac:dyDescent="0.15">
      <c r="G201" s="2" t="s">
        <v>12</v>
      </c>
      <c r="H201" s="17">
        <f>ROUND(VLOOKUP(H$187&amp;"_1",管理者用人口入力シート!BH:CE,J201,FALSE),0)</f>
        <v>46</v>
      </c>
      <c r="I201" s="17">
        <f>ROUND(VLOOKUP(H$187&amp;"_2",管理者用人口入力シート!BH:CE,J201,FALSE),0)</f>
        <v>50</v>
      </c>
      <c r="J201" s="2">
        <v>16</v>
      </c>
      <c r="N201" s="2" t="s">
        <v>12</v>
      </c>
      <c r="O201" s="17">
        <f>ROUND(VLOOKUP(O$187&amp;"_1",管理者用人口入力シート!CO:DL,Q201,FALSE),0)</f>
        <v>46</v>
      </c>
      <c r="P201" s="17">
        <f>ROUND(VLOOKUP(O$187&amp;"_2",管理者用人口入力シート!CO:DL,Q201,FALSE),0)</f>
        <v>51</v>
      </c>
      <c r="Q201" s="2">
        <v>16</v>
      </c>
    </row>
    <row r="202" spans="7:17" x14ac:dyDescent="0.15">
      <c r="G202" s="2" t="s">
        <v>13</v>
      </c>
      <c r="H202" s="17">
        <f>ROUND(VLOOKUP(H$187&amp;"_1",管理者用人口入力シート!BH:CE,J202,FALSE),0)</f>
        <v>91</v>
      </c>
      <c r="I202" s="17">
        <f>ROUND(VLOOKUP(H$187&amp;"_2",管理者用人口入力シート!BH:CE,J202,FALSE),0)</f>
        <v>70</v>
      </c>
      <c r="J202" s="2">
        <v>17</v>
      </c>
      <c r="N202" s="2" t="s">
        <v>13</v>
      </c>
      <c r="O202" s="17">
        <f>ROUND(VLOOKUP(O$187&amp;"_1",管理者用人口入力シート!CO:DL,Q202,FALSE),0)</f>
        <v>91</v>
      </c>
      <c r="P202" s="17">
        <f>ROUND(VLOOKUP(O$187&amp;"_2",管理者用人口入力シート!CO:DL,Q202,FALSE),0)</f>
        <v>71</v>
      </c>
      <c r="Q202" s="2">
        <v>17</v>
      </c>
    </row>
    <row r="203" spans="7:17" x14ac:dyDescent="0.15">
      <c r="G203" s="2" t="s">
        <v>14</v>
      </c>
      <c r="H203" s="17">
        <f>ROUND(VLOOKUP(H$187&amp;"_1",管理者用人口入力シート!BH:CE,J203,FALSE),0)</f>
        <v>74</v>
      </c>
      <c r="I203" s="17">
        <f>ROUND(VLOOKUP(H$187&amp;"_2",管理者用人口入力シート!BH:CE,J203,FALSE),0)</f>
        <v>79</v>
      </c>
      <c r="J203" s="2">
        <v>18</v>
      </c>
      <c r="N203" s="2" t="s">
        <v>14</v>
      </c>
      <c r="O203" s="17">
        <f>ROUND(VLOOKUP(O$187&amp;"_1",管理者用人口入力シート!CO:DL,Q203,FALSE),0)</f>
        <v>74</v>
      </c>
      <c r="P203" s="17">
        <f>ROUND(VLOOKUP(O$187&amp;"_2",管理者用人口入力シート!CO:DL,Q203,FALSE),0)</f>
        <v>79</v>
      </c>
      <c r="Q203" s="2">
        <v>18</v>
      </c>
    </row>
    <row r="204" spans="7:17" x14ac:dyDescent="0.15">
      <c r="G204" s="2" t="s">
        <v>15</v>
      </c>
      <c r="H204" s="17">
        <f>ROUND(VLOOKUP(H$187&amp;"_1",管理者用人口入力シート!BH:CE,J204,FALSE),0)</f>
        <v>74</v>
      </c>
      <c r="I204" s="17">
        <f>ROUND(VLOOKUP(H$187&amp;"_2",管理者用人口入力シート!BH:CE,J204,FALSE),0)</f>
        <v>85</v>
      </c>
      <c r="J204" s="2">
        <v>19</v>
      </c>
      <c r="N204" s="2" t="s">
        <v>15</v>
      </c>
      <c r="O204" s="17">
        <f>ROUND(VLOOKUP(O$187&amp;"_1",管理者用人口入力シート!CO:DL,Q204,FALSE),0)</f>
        <v>74</v>
      </c>
      <c r="P204" s="17">
        <f>ROUND(VLOOKUP(O$187&amp;"_2",管理者用人口入力シート!CO:DL,Q204,FALSE),0)</f>
        <v>85</v>
      </c>
      <c r="Q204" s="2">
        <v>19</v>
      </c>
    </row>
    <row r="205" spans="7:17" x14ac:dyDescent="0.15">
      <c r="G205" s="2" t="s">
        <v>16</v>
      </c>
      <c r="H205" s="17">
        <f>ROUND(VLOOKUP(H$187&amp;"_1",管理者用人口入力シート!BH:CE,J205,FALSE),0)</f>
        <v>53</v>
      </c>
      <c r="I205" s="17">
        <f>ROUND(VLOOKUP(H$187&amp;"_2",管理者用人口入力シート!BH:CE,J205,FALSE),0)</f>
        <v>74</v>
      </c>
      <c r="J205" s="2">
        <v>20</v>
      </c>
      <c r="N205" s="2" t="s">
        <v>16</v>
      </c>
      <c r="O205" s="17">
        <f>ROUND(VLOOKUP(O$187&amp;"_1",管理者用人口入力シート!CO:DL,Q205,FALSE),0)</f>
        <v>53</v>
      </c>
      <c r="P205" s="17">
        <f>ROUND(VLOOKUP(O$187&amp;"_2",管理者用人口入力シート!CO:DL,Q205,FALSE),0)</f>
        <v>74</v>
      </c>
      <c r="Q205" s="2">
        <v>20</v>
      </c>
    </row>
    <row r="206" spans="7:17" x14ac:dyDescent="0.15">
      <c r="G206" s="2" t="s">
        <v>17</v>
      </c>
      <c r="H206" s="17">
        <f>ROUND(VLOOKUP(H$187&amp;"_1",管理者用人口入力シート!BH:CE,J206,FALSE),0)</f>
        <v>40</v>
      </c>
      <c r="I206" s="17">
        <f>ROUND(VLOOKUP(H$187&amp;"_2",管理者用人口入力シート!BH:CE,J206,FALSE),0)</f>
        <v>71</v>
      </c>
      <c r="J206" s="2">
        <v>21</v>
      </c>
      <c r="N206" s="2" t="s">
        <v>17</v>
      </c>
      <c r="O206" s="17">
        <f>ROUND(VLOOKUP(O$187&amp;"_1",管理者用人口入力シート!CO:DL,Q206,FALSE),0)</f>
        <v>40</v>
      </c>
      <c r="P206" s="17">
        <f>ROUND(VLOOKUP(O$187&amp;"_2",管理者用人口入力シート!CO:DL,Q206,FALSE),0)</f>
        <v>71</v>
      </c>
      <c r="Q206" s="2">
        <v>21</v>
      </c>
    </row>
    <row r="207" spans="7:17" x14ac:dyDescent="0.15">
      <c r="G207" s="2" t="s">
        <v>18</v>
      </c>
      <c r="H207" s="17">
        <f>ROUND(VLOOKUP(H$187&amp;"_1",管理者用人口入力シート!BH:CE,J207,FALSE),0)</f>
        <v>19</v>
      </c>
      <c r="I207" s="17">
        <f>ROUND(VLOOKUP(H$187&amp;"_2",管理者用人口入力シート!BH:CE,J207,FALSE),0)</f>
        <v>48</v>
      </c>
      <c r="J207" s="2">
        <v>22</v>
      </c>
      <c r="N207" s="2" t="s">
        <v>18</v>
      </c>
      <c r="O207" s="17">
        <f>ROUND(VLOOKUP(O$187&amp;"_1",管理者用人口入力シート!CO:DL,Q207,FALSE),0)</f>
        <v>19</v>
      </c>
      <c r="P207" s="17">
        <f>ROUND(VLOOKUP(O$187&amp;"_2",管理者用人口入力シート!CO:DL,Q207,FALSE),0)</f>
        <v>48</v>
      </c>
      <c r="Q207" s="2">
        <v>22</v>
      </c>
    </row>
    <row r="208" spans="7:17" x14ac:dyDescent="0.15">
      <c r="G208" s="2" t="s">
        <v>19</v>
      </c>
      <c r="H208" s="17">
        <f>ROUND(VLOOKUP(H$187&amp;"_1",管理者用人口入力シート!BH:CE,J208,FALSE),0)</f>
        <v>3</v>
      </c>
      <c r="I208" s="17">
        <f>ROUND(VLOOKUP(H$187&amp;"_2",管理者用人口入力シート!BH:CE,J208,FALSE),0)</f>
        <v>20</v>
      </c>
      <c r="J208" s="2">
        <v>23</v>
      </c>
      <c r="N208" s="2" t="s">
        <v>19</v>
      </c>
      <c r="O208" s="17">
        <f>ROUND(VLOOKUP(O$187&amp;"_1",管理者用人口入力シート!CO:DL,Q208,FALSE),0)</f>
        <v>3</v>
      </c>
      <c r="P208" s="17">
        <f>ROUND(VLOOKUP(O$187&amp;"_2",管理者用人口入力シート!CO:DL,Q208,FALSE),0)</f>
        <v>20</v>
      </c>
      <c r="Q208" s="2">
        <v>23</v>
      </c>
    </row>
    <row r="209" spans="7:17" x14ac:dyDescent="0.15">
      <c r="G209" s="2" t="s">
        <v>20</v>
      </c>
      <c r="H209" s="17">
        <f>ROUND(VLOOKUP(H$187&amp;"_1",管理者用人口入力シート!BH:CE,J209,FALSE),0)</f>
        <v>0</v>
      </c>
      <c r="I209" s="17">
        <f>ROUND(VLOOKUP(H$187&amp;"_2",管理者用人口入力シート!BH:CE,J209,FALSE),0)</f>
        <v>2</v>
      </c>
      <c r="J209" s="2">
        <v>24</v>
      </c>
      <c r="N209" s="2" t="s">
        <v>20</v>
      </c>
      <c r="O209" s="17">
        <f>ROUND(VLOOKUP(O$187&amp;"_1",管理者用人口入力シート!CO:DL,Q209,FALSE),0)</f>
        <v>0</v>
      </c>
      <c r="P209" s="17">
        <f>ROUND(VLOOKUP(O$187&amp;"_2",管理者用人口入力シート!CO:DL,Q209,FALSE),0)</f>
        <v>2</v>
      </c>
      <c r="Q209" s="2">
        <v>24</v>
      </c>
    </row>
    <row r="212" spans="7:17" x14ac:dyDescent="0.15">
      <c r="N212" s="2" t="s">
        <v>273</v>
      </c>
      <c r="O212" s="316">
        <f>O91</f>
        <v>2030</v>
      </c>
      <c r="P212" s="317"/>
      <c r="Q212" s="2" t="s">
        <v>114</v>
      </c>
    </row>
    <row r="213" spans="7:17" x14ac:dyDescent="0.15">
      <c r="N213" s="2" t="s">
        <v>115</v>
      </c>
      <c r="O213" s="78" t="s">
        <v>329</v>
      </c>
      <c r="P213" s="78" t="s">
        <v>330</v>
      </c>
    </row>
    <row r="214" spans="7:17" x14ac:dyDescent="0.15">
      <c r="N214" s="2" t="s">
        <v>0</v>
      </c>
      <c r="O214" s="17">
        <f>H93+I93</f>
        <v>71</v>
      </c>
      <c r="P214" s="17">
        <f>O93+P93</f>
        <v>75</v>
      </c>
      <c r="Q214" s="2">
        <v>4</v>
      </c>
    </row>
    <row r="215" spans="7:17" x14ac:dyDescent="0.15">
      <c r="N215" s="2" t="s">
        <v>1</v>
      </c>
      <c r="O215" s="17">
        <f t="shared" ref="O215:O233" si="37">H94+I94</f>
        <v>93</v>
      </c>
      <c r="P215" s="17">
        <f t="shared" ref="P215:P233" si="38">O94+P94</f>
        <v>95</v>
      </c>
      <c r="Q215" s="2">
        <v>5</v>
      </c>
    </row>
    <row r="216" spans="7:17" x14ac:dyDescent="0.15">
      <c r="N216" s="2" t="s">
        <v>2</v>
      </c>
      <c r="O216" s="17">
        <f t="shared" si="37"/>
        <v>117</v>
      </c>
      <c r="P216" s="17">
        <f t="shared" si="38"/>
        <v>119</v>
      </c>
      <c r="Q216" s="2">
        <v>6</v>
      </c>
    </row>
    <row r="217" spans="7:17" x14ac:dyDescent="0.15">
      <c r="N217" s="2" t="s">
        <v>3</v>
      </c>
      <c r="O217" s="17">
        <f t="shared" si="37"/>
        <v>105</v>
      </c>
      <c r="P217" s="17">
        <f t="shared" si="38"/>
        <v>107</v>
      </c>
      <c r="Q217" s="2">
        <v>7</v>
      </c>
    </row>
    <row r="218" spans="7:17" x14ac:dyDescent="0.15">
      <c r="N218" s="2" t="s">
        <v>4</v>
      </c>
      <c r="O218" s="17">
        <f t="shared" si="37"/>
        <v>70</v>
      </c>
      <c r="P218" s="17">
        <f t="shared" si="38"/>
        <v>70</v>
      </c>
      <c r="Q218" s="2">
        <v>8</v>
      </c>
    </row>
    <row r="219" spans="7:17" x14ac:dyDescent="0.15">
      <c r="N219" s="2" t="s">
        <v>5</v>
      </c>
      <c r="O219" s="17">
        <f t="shared" si="37"/>
        <v>74</v>
      </c>
      <c r="P219" s="17">
        <f t="shared" si="38"/>
        <v>78</v>
      </c>
      <c r="Q219" s="2">
        <v>9</v>
      </c>
    </row>
    <row r="220" spans="7:17" x14ac:dyDescent="0.15">
      <c r="N220" s="2" t="s">
        <v>6</v>
      </c>
      <c r="O220" s="17">
        <f t="shared" si="37"/>
        <v>68</v>
      </c>
      <c r="P220" s="17">
        <f t="shared" si="38"/>
        <v>71</v>
      </c>
      <c r="Q220" s="2">
        <v>10</v>
      </c>
    </row>
    <row r="221" spans="7:17" x14ac:dyDescent="0.15">
      <c r="N221" s="2" t="s">
        <v>7</v>
      </c>
      <c r="O221" s="17">
        <f t="shared" si="37"/>
        <v>81</v>
      </c>
      <c r="P221" s="17">
        <f t="shared" si="38"/>
        <v>81</v>
      </c>
      <c r="Q221" s="2">
        <v>11</v>
      </c>
    </row>
    <row r="222" spans="7:17" x14ac:dyDescent="0.15">
      <c r="N222" s="2" t="s">
        <v>8</v>
      </c>
      <c r="O222" s="17">
        <f t="shared" si="37"/>
        <v>108</v>
      </c>
      <c r="P222" s="17">
        <f t="shared" si="38"/>
        <v>109</v>
      </c>
      <c r="Q222" s="2">
        <v>12</v>
      </c>
    </row>
    <row r="223" spans="7:17" x14ac:dyDescent="0.15">
      <c r="N223" s="2" t="s">
        <v>9</v>
      </c>
      <c r="O223" s="17">
        <f t="shared" si="37"/>
        <v>181</v>
      </c>
      <c r="P223" s="17">
        <f t="shared" si="38"/>
        <v>182</v>
      </c>
      <c r="Q223" s="2">
        <v>13</v>
      </c>
    </row>
    <row r="224" spans="7:17" x14ac:dyDescent="0.15">
      <c r="N224" s="2" t="s">
        <v>10</v>
      </c>
      <c r="O224" s="17">
        <f t="shared" si="37"/>
        <v>172</v>
      </c>
      <c r="P224" s="17">
        <f t="shared" si="38"/>
        <v>172</v>
      </c>
      <c r="Q224" s="2">
        <v>14</v>
      </c>
    </row>
    <row r="225" spans="14:17" x14ac:dyDescent="0.15">
      <c r="N225" s="2" t="s">
        <v>11</v>
      </c>
      <c r="O225" s="17">
        <f t="shared" si="37"/>
        <v>198</v>
      </c>
      <c r="P225" s="17">
        <f t="shared" si="38"/>
        <v>198</v>
      </c>
      <c r="Q225" s="2">
        <v>15</v>
      </c>
    </row>
    <row r="226" spans="14:17" x14ac:dyDescent="0.15">
      <c r="N226" s="2" t="s">
        <v>12</v>
      </c>
      <c r="O226" s="17">
        <f t="shared" si="37"/>
        <v>197</v>
      </c>
      <c r="P226" s="17">
        <f t="shared" si="38"/>
        <v>197</v>
      </c>
      <c r="Q226" s="2">
        <v>16</v>
      </c>
    </row>
    <row r="227" spans="14:17" x14ac:dyDescent="0.15">
      <c r="N227" s="2" t="s">
        <v>13</v>
      </c>
      <c r="O227" s="17">
        <f t="shared" si="37"/>
        <v>256</v>
      </c>
      <c r="P227" s="17">
        <f t="shared" si="38"/>
        <v>256</v>
      </c>
      <c r="Q227" s="2">
        <v>17</v>
      </c>
    </row>
    <row r="228" spans="14:17" x14ac:dyDescent="0.15">
      <c r="N228" s="2" t="s">
        <v>14</v>
      </c>
      <c r="O228" s="17">
        <f t="shared" si="37"/>
        <v>296</v>
      </c>
      <c r="P228" s="17">
        <f t="shared" si="38"/>
        <v>296</v>
      </c>
      <c r="Q228" s="2">
        <v>18</v>
      </c>
    </row>
    <row r="229" spans="14:17" x14ac:dyDescent="0.15">
      <c r="N229" s="2" t="s">
        <v>15</v>
      </c>
      <c r="O229" s="17">
        <f t="shared" si="37"/>
        <v>331</v>
      </c>
      <c r="P229" s="17">
        <f t="shared" si="38"/>
        <v>331</v>
      </c>
      <c r="Q229" s="2">
        <v>19</v>
      </c>
    </row>
    <row r="230" spans="14:17" x14ac:dyDescent="0.15">
      <c r="N230" s="2" t="s">
        <v>16</v>
      </c>
      <c r="O230" s="17">
        <f t="shared" si="37"/>
        <v>276</v>
      </c>
      <c r="P230" s="17">
        <f t="shared" si="38"/>
        <v>276</v>
      </c>
      <c r="Q230" s="2">
        <v>20</v>
      </c>
    </row>
    <row r="231" spans="14:17" x14ac:dyDescent="0.15">
      <c r="N231" s="2" t="s">
        <v>17</v>
      </c>
      <c r="O231" s="17">
        <f t="shared" si="37"/>
        <v>153</v>
      </c>
      <c r="P231" s="17">
        <f t="shared" si="38"/>
        <v>153</v>
      </c>
      <c r="Q231" s="2">
        <v>21</v>
      </c>
    </row>
    <row r="232" spans="14:17" x14ac:dyDescent="0.15">
      <c r="N232" s="2" t="s">
        <v>18</v>
      </c>
      <c r="O232" s="17">
        <f t="shared" si="37"/>
        <v>73</v>
      </c>
      <c r="P232" s="17">
        <f t="shared" si="38"/>
        <v>73</v>
      </c>
      <c r="Q232" s="2">
        <v>22</v>
      </c>
    </row>
    <row r="233" spans="14:17" x14ac:dyDescent="0.15">
      <c r="N233" s="2" t="s">
        <v>19</v>
      </c>
      <c r="O233" s="17">
        <f t="shared" si="37"/>
        <v>27</v>
      </c>
      <c r="P233" s="17">
        <f t="shared" si="38"/>
        <v>27</v>
      </c>
      <c r="Q233" s="2">
        <v>23</v>
      </c>
    </row>
    <row r="234" spans="14:17" x14ac:dyDescent="0.15">
      <c r="N234" s="2" t="s">
        <v>20</v>
      </c>
      <c r="O234" s="17">
        <f>H113+I113</f>
        <v>3</v>
      </c>
      <c r="P234" s="17">
        <f>O113+P113</f>
        <v>3</v>
      </c>
      <c r="Q234" s="2">
        <v>24</v>
      </c>
    </row>
    <row r="236" spans="14:17" x14ac:dyDescent="0.15">
      <c r="N236" s="2" t="s">
        <v>273</v>
      </c>
      <c r="O236" s="316">
        <f>O139</f>
        <v>2040</v>
      </c>
      <c r="P236" s="317"/>
      <c r="Q236" s="2" t="s">
        <v>114</v>
      </c>
    </row>
    <row r="237" spans="14:17" x14ac:dyDescent="0.15">
      <c r="N237" s="2" t="s">
        <v>115</v>
      </c>
      <c r="O237" s="78" t="s">
        <v>329</v>
      </c>
      <c r="P237" s="78" t="s">
        <v>330</v>
      </c>
    </row>
    <row r="238" spans="14:17" x14ac:dyDescent="0.15">
      <c r="N238" s="2" t="s">
        <v>0</v>
      </c>
      <c r="O238" s="17">
        <f>H141+I141</f>
        <v>49</v>
      </c>
      <c r="P238" s="17">
        <f>O141+P141</f>
        <v>54</v>
      </c>
      <c r="Q238" s="2">
        <v>4</v>
      </c>
    </row>
    <row r="239" spans="14:17" x14ac:dyDescent="0.15">
      <c r="N239" s="2" t="s">
        <v>1</v>
      </c>
      <c r="O239" s="17">
        <f t="shared" ref="O239:O257" si="39">H142+I142</f>
        <v>63</v>
      </c>
      <c r="P239" s="17">
        <f t="shared" ref="P239:P257" si="40">O142+P142</f>
        <v>68</v>
      </c>
      <c r="Q239" s="2">
        <v>5</v>
      </c>
    </row>
    <row r="240" spans="14:17" x14ac:dyDescent="0.15">
      <c r="N240" s="2" t="s">
        <v>2</v>
      </c>
      <c r="O240" s="17">
        <f t="shared" si="39"/>
        <v>74</v>
      </c>
      <c r="P240" s="17">
        <f t="shared" si="40"/>
        <v>79</v>
      </c>
      <c r="Q240" s="2">
        <v>6</v>
      </c>
    </row>
    <row r="241" spans="14:17" x14ac:dyDescent="0.15">
      <c r="N241" s="2" t="s">
        <v>3</v>
      </c>
      <c r="O241" s="17">
        <f t="shared" si="39"/>
        <v>74</v>
      </c>
      <c r="P241" s="17">
        <f t="shared" si="40"/>
        <v>77</v>
      </c>
      <c r="Q241" s="2">
        <v>7</v>
      </c>
    </row>
    <row r="242" spans="14:17" x14ac:dyDescent="0.15">
      <c r="N242" s="2" t="s">
        <v>4</v>
      </c>
      <c r="O242" s="17">
        <f t="shared" si="39"/>
        <v>49</v>
      </c>
      <c r="P242" s="17">
        <f t="shared" si="40"/>
        <v>51</v>
      </c>
      <c r="Q242" s="2">
        <v>8</v>
      </c>
    </row>
    <row r="243" spans="14:17" x14ac:dyDescent="0.15">
      <c r="N243" s="2" t="s">
        <v>5</v>
      </c>
      <c r="O243" s="17">
        <f t="shared" si="39"/>
        <v>46</v>
      </c>
      <c r="P243" s="17">
        <f t="shared" si="40"/>
        <v>52</v>
      </c>
      <c r="Q243" s="2">
        <v>9</v>
      </c>
    </row>
    <row r="244" spans="14:17" x14ac:dyDescent="0.15">
      <c r="N244" s="2" t="s">
        <v>6</v>
      </c>
      <c r="O244" s="17">
        <f t="shared" si="39"/>
        <v>51</v>
      </c>
      <c r="P244" s="17">
        <f t="shared" si="40"/>
        <v>53</v>
      </c>
      <c r="Q244" s="2">
        <v>10</v>
      </c>
    </row>
    <row r="245" spans="14:17" x14ac:dyDescent="0.15">
      <c r="N245" s="2" t="s">
        <v>7</v>
      </c>
      <c r="O245" s="17">
        <f t="shared" si="39"/>
        <v>58</v>
      </c>
      <c r="P245" s="17">
        <f t="shared" si="40"/>
        <v>62</v>
      </c>
      <c r="Q245" s="2">
        <v>11</v>
      </c>
    </row>
    <row r="246" spans="14:17" x14ac:dyDescent="0.15">
      <c r="N246" s="2" t="s">
        <v>8</v>
      </c>
      <c r="O246" s="17">
        <f t="shared" si="39"/>
        <v>65</v>
      </c>
      <c r="P246" s="17">
        <f t="shared" si="40"/>
        <v>69</v>
      </c>
      <c r="Q246" s="2">
        <v>12</v>
      </c>
    </row>
    <row r="247" spans="14:17" x14ac:dyDescent="0.15">
      <c r="N247" s="2" t="s">
        <v>9</v>
      </c>
      <c r="O247" s="17">
        <f t="shared" si="39"/>
        <v>83</v>
      </c>
      <c r="P247" s="17">
        <f t="shared" si="40"/>
        <v>84</v>
      </c>
      <c r="Q247" s="2">
        <v>13</v>
      </c>
    </row>
    <row r="248" spans="14:17" x14ac:dyDescent="0.15">
      <c r="N248" s="2" t="s">
        <v>10</v>
      </c>
      <c r="O248" s="17">
        <f t="shared" si="39"/>
        <v>100</v>
      </c>
      <c r="P248" s="17">
        <f t="shared" si="40"/>
        <v>101</v>
      </c>
      <c r="Q248" s="2">
        <v>14</v>
      </c>
    </row>
    <row r="249" spans="14:17" x14ac:dyDescent="0.15">
      <c r="N249" s="2" t="s">
        <v>11</v>
      </c>
      <c r="O249" s="17">
        <f t="shared" si="39"/>
        <v>167</v>
      </c>
      <c r="P249" s="17">
        <f t="shared" si="40"/>
        <v>168</v>
      </c>
      <c r="Q249" s="2">
        <v>15</v>
      </c>
    </row>
    <row r="250" spans="14:17" x14ac:dyDescent="0.15">
      <c r="N250" s="2" t="s">
        <v>12</v>
      </c>
      <c r="O250" s="17">
        <f t="shared" si="39"/>
        <v>165</v>
      </c>
      <c r="P250" s="17">
        <f t="shared" si="40"/>
        <v>165</v>
      </c>
      <c r="Q250" s="2">
        <v>16</v>
      </c>
    </row>
    <row r="251" spans="14:17" x14ac:dyDescent="0.15">
      <c r="N251" s="2" t="s">
        <v>13</v>
      </c>
      <c r="O251" s="17">
        <f t="shared" si="39"/>
        <v>191</v>
      </c>
      <c r="P251" s="17">
        <f t="shared" si="40"/>
        <v>191</v>
      </c>
      <c r="Q251" s="2">
        <v>17</v>
      </c>
    </row>
    <row r="252" spans="14:17" x14ac:dyDescent="0.15">
      <c r="N252" s="2" t="s">
        <v>14</v>
      </c>
      <c r="O252" s="17">
        <f t="shared" si="39"/>
        <v>184</v>
      </c>
      <c r="P252" s="17">
        <f t="shared" si="40"/>
        <v>184</v>
      </c>
      <c r="Q252" s="2">
        <v>18</v>
      </c>
    </row>
    <row r="253" spans="14:17" x14ac:dyDescent="0.15">
      <c r="N253" s="2" t="s">
        <v>15</v>
      </c>
      <c r="O253" s="17">
        <f t="shared" si="39"/>
        <v>214</v>
      </c>
      <c r="P253" s="17">
        <f t="shared" si="40"/>
        <v>214</v>
      </c>
      <c r="Q253" s="2">
        <v>19</v>
      </c>
    </row>
    <row r="254" spans="14:17" x14ac:dyDescent="0.15">
      <c r="N254" s="2" t="s">
        <v>16</v>
      </c>
      <c r="O254" s="17">
        <f t="shared" si="39"/>
        <v>205</v>
      </c>
      <c r="P254" s="17">
        <f t="shared" si="40"/>
        <v>205</v>
      </c>
      <c r="Q254" s="2">
        <v>20</v>
      </c>
    </row>
    <row r="255" spans="14:17" x14ac:dyDescent="0.15">
      <c r="N255" s="2" t="s">
        <v>17</v>
      </c>
      <c r="O255" s="17">
        <f t="shared" si="39"/>
        <v>171</v>
      </c>
      <c r="P255" s="17">
        <f t="shared" si="40"/>
        <v>171</v>
      </c>
      <c r="Q255" s="2">
        <v>21</v>
      </c>
    </row>
    <row r="256" spans="14:17" x14ac:dyDescent="0.15">
      <c r="N256" s="2" t="s">
        <v>18</v>
      </c>
      <c r="O256" s="17">
        <f t="shared" si="39"/>
        <v>90</v>
      </c>
      <c r="P256" s="17">
        <f t="shared" si="40"/>
        <v>90</v>
      </c>
      <c r="Q256" s="2">
        <v>22</v>
      </c>
    </row>
    <row r="257" spans="14:17" x14ac:dyDescent="0.15">
      <c r="N257" s="2" t="s">
        <v>19</v>
      </c>
      <c r="O257" s="17">
        <f t="shared" si="39"/>
        <v>22</v>
      </c>
      <c r="P257" s="17">
        <f t="shared" si="40"/>
        <v>22</v>
      </c>
      <c r="Q257" s="2">
        <v>23</v>
      </c>
    </row>
    <row r="258" spans="14:17" x14ac:dyDescent="0.15">
      <c r="N258" s="2" t="s">
        <v>20</v>
      </c>
      <c r="O258" s="17">
        <f>H161+I161</f>
        <v>2</v>
      </c>
      <c r="P258" s="17">
        <f>O161+P161</f>
        <v>2</v>
      </c>
      <c r="Q258" s="2">
        <v>24</v>
      </c>
    </row>
  </sheetData>
  <mergeCells count="17">
    <mergeCell ref="O163:P163"/>
    <mergeCell ref="O187:P187"/>
    <mergeCell ref="H163:I163"/>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2019-03-18T10:47:39Z</cp:lastPrinted>
  <dcterms:created xsi:type="dcterms:W3CDTF">2018-08-17T00:57:13Z</dcterms:created>
  <dcterms:modified xsi:type="dcterms:W3CDTF">2023-03-30T02:59:05Z</dcterms:modified>
</cp:coreProperties>
</file>